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/>
  <mc:AlternateContent xmlns:mc="http://schemas.openxmlformats.org/markup-compatibility/2006">
    <mc:Choice Requires="x15">
      <x15ac:absPath xmlns:x15ac="http://schemas.microsoft.com/office/spreadsheetml/2010/11/ac" url="C:\Users\Jan-Peter\Dropbox\Demonstrationen 5\Ekonomi\Underhållsplan\"/>
    </mc:Choice>
  </mc:AlternateContent>
  <xr:revisionPtr revIDLastSave="0" documentId="13_ncr:1_{C02A5874-D938-4088-BA79-2558BB1C53D5}" xr6:coauthVersionLast="47" xr6:coauthVersionMax="47" xr10:uidLastSave="{00000000-0000-0000-0000-000000000000}"/>
  <bookViews>
    <workbookView xWindow="-120" yWindow="-120" windowWidth="29040" windowHeight="15990" tabRatio="500" xr2:uid="{00000000-000D-0000-FFFF-FFFF00000000}"/>
  </bookViews>
  <sheets>
    <sheet name="UH-plan detaljerad" sheetId="1" r:id="rId1"/>
    <sheet name="UH-Plan enkel" sheetId="2" r:id="rId2"/>
    <sheet name="Kommentarer" sheetId="3" r:id="rId3"/>
    <sheet name="Fastighetens konstruktion mm" sheetId="4" r:id="rId4"/>
    <sheet name="Balkonger" sheetId="5" r:id="rId5"/>
    <sheet name="Bergvärme" sheetId="6" r:id="rId6"/>
    <sheet name="Hiss" sheetId="7" r:id="rId7"/>
    <sheet name="Länkar offerter" sheetId="8" r:id="rId8"/>
  </sheets>
  <definedNames>
    <definedName name="_xlnm.Print_Area" localSheetId="1">'UH-Plan enkel'!$A$1:$N$76</definedName>
  </definedNames>
  <calcPr calcId="181029"/>
  <extLst>
    <ext xmlns:x15="http://schemas.microsoft.com/office/spreadsheetml/2010/11/main" uri="{140A7094-0E35-4892-8432-C4D2E57EDEB5}">
      <x15:workbookPr chartTrackingRefBase="1"/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H22" i="1" l="1"/>
  <c r="I22" i="1"/>
  <c r="J22" i="1"/>
  <c r="G22" i="1"/>
  <c r="F22" i="1"/>
  <c r="E19" i="2"/>
  <c r="L11" i="2"/>
  <c r="E150" i="1"/>
  <c r="J25" i="2"/>
  <c r="D11" i="2"/>
  <c r="D68" i="2"/>
  <c r="D45" i="2"/>
  <c r="K31" i="1"/>
  <c r="K52" i="1"/>
  <c r="G16" i="1"/>
  <c r="F17" i="1"/>
  <c r="F18" i="1" s="1"/>
  <c r="F20" i="1"/>
  <c r="G20" i="1" s="1"/>
  <c r="H20" i="1" s="1"/>
  <c r="I20" i="1" s="1"/>
  <c r="J20" i="1" s="1"/>
  <c r="H11" i="2" s="1"/>
  <c r="G36" i="1"/>
  <c r="H36" i="1" s="1"/>
  <c r="M75" i="2"/>
  <c r="M73" i="2"/>
  <c r="D65" i="2"/>
  <c r="J58" i="2"/>
  <c r="K54" i="2"/>
  <c r="J54" i="2"/>
  <c r="D52" i="2"/>
  <c r="D48" i="2"/>
  <c r="J47" i="2"/>
  <c r="L43" i="2"/>
  <c r="K43" i="2"/>
  <c r="L40" i="2"/>
  <c r="L33" i="2"/>
  <c r="D33" i="2"/>
  <c r="I32" i="2"/>
  <c r="M31" i="2"/>
  <c r="M70" i="2" s="1"/>
  <c r="D29" i="2"/>
  <c r="E27" i="2"/>
  <c r="D27" i="2"/>
  <c r="K23" i="2"/>
  <c r="D23" i="2"/>
  <c r="L22" i="2"/>
  <c r="D20" i="2"/>
  <c r="J19" i="2"/>
  <c r="K18" i="2"/>
  <c r="G18" i="2"/>
  <c r="E18" i="2"/>
  <c r="N16" i="2"/>
  <c r="N70" i="2" s="1"/>
  <c r="D9" i="2"/>
  <c r="C9" i="2"/>
  <c r="K8" i="2"/>
  <c r="C8" i="2"/>
  <c r="B6" i="2"/>
  <c r="L5" i="2"/>
  <c r="C5" i="2"/>
  <c r="B5" i="2"/>
  <c r="N2" i="2"/>
  <c r="L152" i="1"/>
  <c r="K69" i="2" s="1"/>
  <c r="J152" i="1"/>
  <c r="J69" i="2" s="1"/>
  <c r="E152" i="1"/>
  <c r="D69" i="2" s="1"/>
  <c r="J148" i="1"/>
  <c r="L148" i="1" s="1"/>
  <c r="F150" i="1"/>
  <c r="G150" i="1" s="1"/>
  <c r="H150" i="1" s="1"/>
  <c r="I150" i="1" s="1"/>
  <c r="E145" i="1"/>
  <c r="F143" i="1"/>
  <c r="L139" i="1"/>
  <c r="K139" i="1"/>
  <c r="J139" i="1"/>
  <c r="I139" i="1"/>
  <c r="H139" i="1"/>
  <c r="G139" i="1"/>
  <c r="F139" i="1"/>
  <c r="M138" i="1"/>
  <c r="M137" i="1"/>
  <c r="M132" i="1"/>
  <c r="I132" i="1"/>
  <c r="H132" i="1"/>
  <c r="G132" i="1"/>
  <c r="F132" i="1"/>
  <c r="L130" i="1"/>
  <c r="L60" i="2" s="1"/>
  <c r="E130" i="1"/>
  <c r="D60" i="2" s="1"/>
  <c r="L129" i="1"/>
  <c r="J129" i="1"/>
  <c r="J59" i="2" s="1"/>
  <c r="L128" i="1"/>
  <c r="L58" i="2" s="1"/>
  <c r="K128" i="1"/>
  <c r="K58" i="2" s="1"/>
  <c r="E128" i="1"/>
  <c r="M125" i="1"/>
  <c r="E123" i="1"/>
  <c r="D54" i="2"/>
  <c r="M120" i="1"/>
  <c r="E119" i="1"/>
  <c r="D55" i="2" s="1"/>
  <c r="M112" i="1"/>
  <c r="L112" i="1"/>
  <c r="G112" i="1"/>
  <c r="F112" i="1"/>
  <c r="K108" i="1"/>
  <c r="E108" i="1"/>
  <c r="K107" i="1"/>
  <c r="E107" i="1"/>
  <c r="O105" i="1"/>
  <c r="I105" i="1"/>
  <c r="F47" i="2" s="1"/>
  <c r="E105" i="1"/>
  <c r="H104" i="1"/>
  <c r="H112" i="1" s="1"/>
  <c r="E104" i="1"/>
  <c r="J103" i="1"/>
  <c r="H47" i="2" s="1"/>
  <c r="L99" i="1"/>
  <c r="K99" i="1"/>
  <c r="J99" i="1"/>
  <c r="I99" i="1"/>
  <c r="H99" i="1"/>
  <c r="G99" i="1"/>
  <c r="F99" i="1"/>
  <c r="E95" i="1"/>
  <c r="D18" i="2" s="1"/>
  <c r="M93" i="1"/>
  <c r="L15" i="2" s="1"/>
  <c r="F91" i="1"/>
  <c r="E88" i="1"/>
  <c r="J87" i="1"/>
  <c r="J42" i="2" s="1"/>
  <c r="M85" i="1"/>
  <c r="E85" i="1"/>
  <c r="G83" i="1"/>
  <c r="H83" i="1" s="1"/>
  <c r="M81" i="1"/>
  <c r="E81" i="1"/>
  <c r="L80" i="1"/>
  <c r="L39" i="2" s="1"/>
  <c r="E80" i="1"/>
  <c r="K76" i="1"/>
  <c r="J76" i="1"/>
  <c r="I76" i="1"/>
  <c r="H76" i="1"/>
  <c r="G76" i="1"/>
  <c r="F76" i="1"/>
  <c r="O75" i="1"/>
  <c r="M74" i="1"/>
  <c r="M76" i="1" s="1"/>
  <c r="E74" i="1"/>
  <c r="L70" i="1"/>
  <c r="K48" i="2" s="1"/>
  <c r="M68" i="1"/>
  <c r="L68" i="1"/>
  <c r="K68" i="1"/>
  <c r="J68" i="1"/>
  <c r="I68" i="1"/>
  <c r="H68" i="1"/>
  <c r="G68" i="1"/>
  <c r="F68" i="1"/>
  <c r="M62" i="1"/>
  <c r="F62" i="1"/>
  <c r="G55" i="1"/>
  <c r="F27" i="2" s="1"/>
  <c r="F54" i="1"/>
  <c r="G54" i="1" s="1"/>
  <c r="M52" i="1"/>
  <c r="L52" i="1"/>
  <c r="J52" i="1"/>
  <c r="I52" i="1"/>
  <c r="H52" i="1"/>
  <c r="G52" i="1"/>
  <c r="F52" i="1"/>
  <c r="M45" i="1"/>
  <c r="L45" i="1"/>
  <c r="K45" i="1"/>
  <c r="J45" i="1"/>
  <c r="I45" i="1"/>
  <c r="H45" i="1"/>
  <c r="G45" i="1"/>
  <c r="F45" i="1"/>
  <c r="M39" i="1"/>
  <c r="F39" i="1"/>
  <c r="E36" i="1"/>
  <c r="F19" i="2" s="1"/>
  <c r="L30" i="1"/>
  <c r="J17" i="2" s="1"/>
  <c r="M26" i="1"/>
  <c r="L26" i="1"/>
  <c r="K26" i="1"/>
  <c r="J26" i="1"/>
  <c r="I26" i="1"/>
  <c r="H26" i="1"/>
  <c r="G26" i="1"/>
  <c r="F26" i="1"/>
  <c r="E26" i="1"/>
  <c r="M10" i="1"/>
  <c r="L10" i="1"/>
  <c r="K10" i="1"/>
  <c r="J10" i="1"/>
  <c r="I10" i="1"/>
  <c r="H10" i="1"/>
  <c r="G10" i="1"/>
  <c r="F10" i="1"/>
  <c r="G62" i="1" l="1"/>
  <c r="F154" i="1"/>
  <c r="K20" i="1"/>
  <c r="E10" i="2"/>
  <c r="G17" i="1"/>
  <c r="H17" i="1" s="1"/>
  <c r="I17" i="1" s="1"/>
  <c r="J17" i="1" s="1"/>
  <c r="K17" i="1" s="1"/>
  <c r="L17" i="1" s="1"/>
  <c r="M17" i="1" s="1"/>
  <c r="H16" i="1"/>
  <c r="F11" i="2"/>
  <c r="E11" i="2"/>
  <c r="G11" i="2"/>
  <c r="M99" i="1"/>
  <c r="M139" i="1"/>
  <c r="K112" i="1"/>
  <c r="K132" i="1"/>
  <c r="F119" i="1"/>
  <c r="G119" i="1" s="1"/>
  <c r="H119" i="1" s="1"/>
  <c r="G39" i="1"/>
  <c r="H55" i="1"/>
  <c r="G27" i="2" s="1"/>
  <c r="G91" i="1"/>
  <c r="M91" i="1"/>
  <c r="G19" i="2"/>
  <c r="H19" i="2"/>
  <c r="H39" i="1"/>
  <c r="I36" i="1"/>
  <c r="H54" i="1"/>
  <c r="I54" i="1" s="1"/>
  <c r="H91" i="1"/>
  <c r="I83" i="1"/>
  <c r="J132" i="1"/>
  <c r="L76" i="1"/>
  <c r="J112" i="1"/>
  <c r="L69" i="2"/>
  <c r="I112" i="1"/>
  <c r="L132" i="1"/>
  <c r="G125" i="1" l="1"/>
  <c r="G154" i="1" s="1"/>
  <c r="H18" i="1"/>
  <c r="G18" i="1"/>
  <c r="E70" i="2"/>
  <c r="G10" i="2"/>
  <c r="G70" i="2" s="1"/>
  <c r="I16" i="1"/>
  <c r="I18" i="1" s="1"/>
  <c r="I11" i="2"/>
  <c r="L20" i="1"/>
  <c r="F10" i="2"/>
  <c r="F70" i="2" s="1"/>
  <c r="H62" i="1"/>
  <c r="I55" i="1"/>
  <c r="J55" i="1" s="1"/>
  <c r="I91" i="1"/>
  <c r="J83" i="1"/>
  <c r="H125" i="1"/>
  <c r="I119" i="1"/>
  <c r="I55" i="2"/>
  <c r="J54" i="1"/>
  <c r="J36" i="1"/>
  <c r="K36" i="1" s="1"/>
  <c r="I39" i="1"/>
  <c r="H10" i="2" l="1"/>
  <c r="J16" i="1"/>
  <c r="J18" i="1" s="1"/>
  <c r="K18" i="1" s="1"/>
  <c r="M20" i="1"/>
  <c r="K11" i="2" s="1"/>
  <c r="J11" i="2"/>
  <c r="H27" i="2"/>
  <c r="H70" i="2" s="1"/>
  <c r="I62" i="1"/>
  <c r="H154" i="1"/>
  <c r="K54" i="1"/>
  <c r="J62" i="1"/>
  <c r="I154" i="1"/>
  <c r="K83" i="1"/>
  <c r="J91" i="1"/>
  <c r="J39" i="1"/>
  <c r="I27" i="2"/>
  <c r="K55" i="1"/>
  <c r="I125" i="1"/>
  <c r="J119" i="1"/>
  <c r="K62" i="1" l="1"/>
  <c r="J10" i="2"/>
  <c r="I10" i="2"/>
  <c r="I70" i="2" s="1"/>
  <c r="E71" i="2" s="1"/>
  <c r="K16" i="1"/>
  <c r="J27" i="2"/>
  <c r="L55" i="1"/>
  <c r="L54" i="1"/>
  <c r="L83" i="1"/>
  <c r="L91" i="1" s="1"/>
  <c r="K91" i="1"/>
  <c r="J125" i="1"/>
  <c r="J55" i="2"/>
  <c r="K119" i="1"/>
  <c r="L36" i="1"/>
  <c r="K19" i="2"/>
  <c r="K39" i="1"/>
  <c r="J154" i="1" l="1"/>
  <c r="K10" i="2"/>
  <c r="L16" i="1"/>
  <c r="L18" i="1" s="1"/>
  <c r="K55" i="2"/>
  <c r="K125" i="1"/>
  <c r="L119" i="1"/>
  <c r="L27" i="2"/>
  <c r="K27" i="2"/>
  <c r="L39" i="1"/>
  <c r="L19" i="2"/>
  <c r="J70" i="2"/>
  <c r="E72" i="2" s="1"/>
  <c r="L62" i="1"/>
  <c r="K154" i="1" l="1"/>
  <c r="K70" i="2"/>
  <c r="E73" i="2" s="1"/>
  <c r="M16" i="1"/>
  <c r="M18" i="1" s="1"/>
  <c r="L10" i="2"/>
  <c r="L55" i="2"/>
  <c r="L125" i="1"/>
  <c r="L154" i="1" l="1"/>
  <c r="M156" i="1" s="1"/>
  <c r="M158" i="1" s="1"/>
  <c r="M154" i="1"/>
  <c r="L70" i="2"/>
  <c r="M160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Okänd författare</author>
  </authors>
  <commentList>
    <comment ref="E32" authorId="0" shapeId="0" xr:uid="{00000000-0006-0000-0000-000002000000}">
      <text>
        <r>
          <rPr>
            <sz val="10"/>
            <rFont val="Arial"/>
            <family val="2"/>
          </rPr>
          <t xml:space="preserve">Jan-Peter Estradas:
</t>
        </r>
        <r>
          <rPr>
            <sz val="9"/>
            <color rgb="FF000000"/>
            <rFont val="Tahoma"/>
            <family val="2"/>
            <charset val="1"/>
          </rPr>
          <t>8 500 kr inkl montering aktuell pris 2023</t>
        </r>
      </text>
    </comment>
    <comment ref="D42" authorId="0" shapeId="0" xr:uid="{00000000-0006-0000-0000-000001000000}">
      <text>
        <r>
          <rPr>
            <sz val="10"/>
            <rFont val="Arial"/>
            <family val="2"/>
          </rPr>
          <t>2014 Renovering och målning av fönster och fönsterdörrar utvändigt och mellansidor.
Tätning av fönster och fönsterdörrar.
Montering av nya koppelskruvar på fönster och fönsterdörrar.</t>
        </r>
      </text>
    </comment>
  </commentList>
</comments>
</file>

<file path=xl/sharedStrings.xml><?xml version="1.0" encoding="utf-8"?>
<sst xmlns="http://schemas.openxmlformats.org/spreadsheetml/2006/main" count="506" uniqueCount="475">
  <si>
    <t>Underhållsplan Demonstrationen 5</t>
  </si>
  <si>
    <t>Senast uppdaterad</t>
  </si>
  <si>
    <t>Antagen inflation/index</t>
  </si>
  <si>
    <t>Alla kostnader kr ex  moms</t>
  </si>
  <si>
    <t>Frekvens</t>
  </si>
  <si>
    <t>Senaste insatsen</t>
  </si>
  <si>
    <t>Kostnad</t>
  </si>
  <si>
    <t>Kostnader efter 2044</t>
  </si>
  <si>
    <t>Vid tillfälle *</t>
  </si>
  <si>
    <t>1 - Balkonger</t>
  </si>
  <si>
    <t>1.1</t>
  </si>
  <si>
    <t>Renovering balkongplattor</t>
  </si>
  <si>
    <t>1.2</t>
  </si>
  <si>
    <t>Målning räcke</t>
  </si>
  <si>
    <t>?</t>
  </si>
  <si>
    <t>Totalt balkonger</t>
  </si>
  <si>
    <t>2- Bergvärme</t>
  </si>
  <si>
    <t>2.1</t>
  </si>
  <si>
    <t xml:space="preserve">Pump VP1 Thermia Mega XL  </t>
  </si>
  <si>
    <t xml:space="preserve"> </t>
  </si>
  <si>
    <t>2.2</t>
  </si>
  <si>
    <t>Expansionskärl</t>
  </si>
  <si>
    <t>2.3</t>
  </si>
  <si>
    <t>Styr och reglersystem, byte</t>
  </si>
  <si>
    <t>2.4</t>
  </si>
  <si>
    <t>Kollektorslangar</t>
  </si>
  <si>
    <t>2.5</t>
  </si>
  <si>
    <t>Totalt bergvärme</t>
  </si>
  <si>
    <t>3.1</t>
  </si>
  <si>
    <t xml:space="preserve">Stigare, lägenheter och vind, byte huvudcentraler </t>
  </si>
  <si>
    <t>Inkommande elservis</t>
  </si>
  <si>
    <t>Totalt elanläggning</t>
  </si>
  <si>
    <t>4.1</t>
  </si>
  <si>
    <t>Entrédörr Strindbergsg byte till ekparti</t>
  </si>
  <si>
    <t>4.2</t>
  </si>
  <si>
    <t>Entrédörr gård byte</t>
  </si>
  <si>
    <t>Dörrstängare Strindbergsgatan</t>
  </si>
  <si>
    <t>Kodlås Strindbergsgatan</t>
  </si>
  <si>
    <t>IR-lås</t>
  </si>
  <si>
    <t>Dörrstängare gård***</t>
  </si>
  <si>
    <t>Kodlås gård</t>
  </si>
  <si>
    <t>Entrématta</t>
  </si>
  <si>
    <t>Entrématta tvätt årligen vid behov</t>
  </si>
  <si>
    <t>Slipning marmorgolv entré</t>
  </si>
  <si>
    <t>Nytt låssystem **</t>
  </si>
  <si>
    <t xml:space="preserve">Finns offerter för Doorman och Iloq </t>
  </si>
  <si>
    <t>Totalt entréer</t>
  </si>
  <si>
    <t>5.1</t>
  </si>
  <si>
    <t>Målning / putsning</t>
  </si>
  <si>
    <t>5.2</t>
  </si>
  <si>
    <t>Fönster, fönsterdörrar målning, justering, tätning</t>
  </si>
  <si>
    <t>2013-2014</t>
  </si>
  <si>
    <t>5.3</t>
  </si>
  <si>
    <t>Fönster, fönsterdörrar byte?</t>
  </si>
  <si>
    <t>5.4</t>
  </si>
  <si>
    <t>Totalt fasader</t>
  </si>
  <si>
    <t>6.1</t>
  </si>
  <si>
    <t>Fjärrvärmecentral****</t>
  </si>
  <si>
    <t>30-40</t>
  </si>
  <si>
    <t>6.2</t>
  </si>
  <si>
    <t>Ställdon TAC M800</t>
  </si>
  <si>
    <t>6.3</t>
  </si>
  <si>
    <t>Styr och reglersystem</t>
  </si>
  <si>
    <t>6.4</t>
  </si>
  <si>
    <t>Värmeväxlare rengöring</t>
  </si>
  <si>
    <t>Cirkulationspump 2 st VVC / värmesystemet</t>
  </si>
  <si>
    <t>Totalt fjärrvärme</t>
  </si>
  <si>
    <t>7.1</t>
  </si>
  <si>
    <t>Planteringar, buskar egna</t>
  </si>
  <si>
    <t>7.2</t>
  </si>
  <si>
    <t>Gemensam gård årlig skötsel</t>
  </si>
  <si>
    <t>7.3</t>
  </si>
  <si>
    <t>Normal beskärning av poplar o övr träd</t>
  </si>
  <si>
    <t>7.4</t>
  </si>
  <si>
    <t>Hård beskärning av popplar</t>
  </si>
  <si>
    <t>7.5</t>
  </si>
  <si>
    <r>
      <rPr>
        <sz val="11"/>
        <color rgb="FF000000"/>
        <rFont val="Calibri"/>
        <family val="2"/>
        <charset val="1"/>
      </rPr>
      <t>Betongplattor gård - ränndalar för</t>
    </r>
    <r>
      <rPr>
        <b/>
        <sz val="11"/>
        <rFont val="Calibri"/>
        <family val="2"/>
        <charset val="1"/>
      </rPr>
      <t xml:space="preserve"> </t>
    </r>
    <r>
      <rPr>
        <sz val="11"/>
        <rFont val="Calibri"/>
        <family val="2"/>
        <charset val="1"/>
      </rPr>
      <t>avrinning</t>
    </r>
  </si>
  <si>
    <t>Rensning/spolning av dagvattenbrunnar</t>
  </si>
  <si>
    <t>Cykelställ anläggning och flytt till ny plats</t>
  </si>
  <si>
    <t>P-platser 5 st kräver i stort sett inget underhåll endast betongplattan</t>
  </si>
  <si>
    <t>Totalt Mark/Gård</t>
  </si>
  <si>
    <t>8.1</t>
  </si>
  <si>
    <t>Hisskorg invändig renovering</t>
  </si>
  <si>
    <t>8.2</t>
  </si>
  <si>
    <t>Apparatskåp, GSM nödtelefon mm .För mer detaljer se flik Hiss</t>
  </si>
  <si>
    <t>8.3</t>
  </si>
  <si>
    <t>Bärlina och HR-lina</t>
  </si>
  <si>
    <t>Se mail fr Trygga Hiss 2021-02-23</t>
  </si>
  <si>
    <t>8.4</t>
  </si>
  <si>
    <t>Korgdörrens tröskel</t>
  </si>
  <si>
    <t>Totalt hiss</t>
  </si>
  <si>
    <t>10.1</t>
  </si>
  <si>
    <t>Tvättstugor golv, väggar, tak målning</t>
  </si>
  <si>
    <t>10.2</t>
  </si>
  <si>
    <r>
      <rPr>
        <sz val="11"/>
        <rFont val="Calibri"/>
        <family val="2"/>
        <charset val="1"/>
      </rPr>
      <t>Övre källare</t>
    </r>
    <r>
      <rPr>
        <sz val="11"/>
        <color rgb="FF000000"/>
        <rFont val="Calibri"/>
        <family val="2"/>
        <charset val="1"/>
      </rPr>
      <t xml:space="preserve"> golv, tak &amp; väggar, målning</t>
    </r>
  </si>
  <si>
    <t>10.3</t>
  </si>
  <si>
    <t>Nedre källare målning väggar</t>
  </si>
  <si>
    <t>10.4</t>
  </si>
  <si>
    <t>10.5</t>
  </si>
  <si>
    <t>Belysning, byte armaturer vind</t>
  </si>
  <si>
    <t>10.6</t>
  </si>
  <si>
    <t>Skyddsrummet Troax montering av väggnät*</t>
  </si>
  <si>
    <t>Offert daterad 2021-01-22</t>
  </si>
  <si>
    <t>Totalt källare/vind</t>
  </si>
  <si>
    <t>11.1</t>
  </si>
  <si>
    <t>Yttertak, skiffer omläggning</t>
  </si>
  <si>
    <t>80-100</t>
  </si>
  <si>
    <t>11.2</t>
  </si>
  <si>
    <t>Yttertak, plåtdetaljer</t>
  </si>
  <si>
    <t>2000 ?</t>
  </si>
  <si>
    <t>11.3</t>
  </si>
  <si>
    <t>Målning plåtdetaljer</t>
  </si>
  <si>
    <t>11.4</t>
  </si>
  <si>
    <t>3 st entrétak - koppar/trä/stål konstruktion helt utbytt</t>
  </si>
  <si>
    <t>11.6</t>
  </si>
  <si>
    <t xml:space="preserve">Ny röklucka </t>
  </si>
  <si>
    <t>11.7</t>
  </si>
  <si>
    <t>11.8</t>
  </si>
  <si>
    <t>Takfönster byte 3 av 6 fönster till Velux</t>
  </si>
  <si>
    <t>11.9</t>
  </si>
  <si>
    <t>Gångbryggor och säkerhetswire</t>
  </si>
  <si>
    <t>11.10</t>
  </si>
  <si>
    <t>Fläkthuv stäm av med plåtslagare</t>
  </si>
  <si>
    <t>11.11</t>
  </si>
  <si>
    <t>Hängrännor, stuprör plåt stäm av med plåtslagare</t>
  </si>
  <si>
    <t>11.12</t>
  </si>
  <si>
    <t>Värmekablar i stuprör och hängrännor installerad 2007</t>
  </si>
  <si>
    <t>11.13</t>
  </si>
  <si>
    <t>Besiktning av samtliga takfönster</t>
  </si>
  <si>
    <t>Totalt yttertak</t>
  </si>
  <si>
    <t>12.1</t>
  </si>
  <si>
    <t>Väggar, tak målning</t>
  </si>
  <si>
    <t>12.2</t>
  </si>
  <si>
    <t>Målning lägenhetsdörrar</t>
  </si>
  <si>
    <t>12.3</t>
  </si>
  <si>
    <t>12.4</t>
  </si>
  <si>
    <t>Belysning, byte armaturer</t>
  </si>
  <si>
    <t>12.5</t>
  </si>
  <si>
    <t>Lägenhetsdörrar Nykroppa SD2 klass 2 enl SS817345 år 2000</t>
  </si>
  <si>
    <t>2000-2001</t>
  </si>
  <si>
    <t>12.6</t>
  </si>
  <si>
    <t>Belysning i trapphus fd ljusschakt***</t>
  </si>
  <si>
    <t>Totalt trapphus</t>
  </si>
  <si>
    <t>Stora</t>
  </si>
  <si>
    <t>13.1</t>
  </si>
  <si>
    <t xml:space="preserve">Electrolux Wascator WH6-8LE </t>
  </si>
  <si>
    <t>13.2</t>
  </si>
  <si>
    <t>Tvättmaskin Electrolux Wascator W465H</t>
  </si>
  <si>
    <t>13.3</t>
  </si>
  <si>
    <t>Torktumlare Elektrolux Wascator T 4190</t>
  </si>
  <si>
    <t>13.4</t>
  </si>
  <si>
    <t>Torkskåp Electrolux Wascator TS3121</t>
  </si>
  <si>
    <t>Offert daterad 2020-11-17</t>
  </si>
  <si>
    <t>Lilla</t>
  </si>
  <si>
    <t>13.5</t>
  </si>
  <si>
    <t>Tvättmaskin Electrolux WH6-6</t>
  </si>
  <si>
    <t>13.6</t>
  </si>
  <si>
    <t>Torktumlare -Electrolux T5130</t>
  </si>
  <si>
    <t>13.7</t>
  </si>
  <si>
    <t>Mangel</t>
  </si>
  <si>
    <t>13.8</t>
  </si>
  <si>
    <t xml:space="preserve">Digital tvättstugebokning </t>
  </si>
  <si>
    <t>13.9</t>
  </si>
  <si>
    <t>Läggning av våtrumsmattor i lilla, stora  tvättstugan och i mangelrum</t>
  </si>
  <si>
    <t>Totalt tvättstugor</t>
  </si>
  <si>
    <t>Idag koaxialkabel</t>
  </si>
  <si>
    <t>15.1</t>
  </si>
  <si>
    <r>
      <rPr>
        <sz val="11"/>
        <color rgb="FF000000"/>
        <rFont val="Calibri"/>
        <family val="2"/>
        <charset val="1"/>
      </rPr>
      <t xml:space="preserve">Stamventiler tappvatten </t>
    </r>
    <r>
      <rPr>
        <i/>
        <sz val="11"/>
        <color rgb="FF000000"/>
        <rFont val="Calibri"/>
        <family val="2"/>
        <charset val="1"/>
      </rPr>
      <t>AJ Jonsson kulventiler</t>
    </r>
  </si>
  <si>
    <t>15.2</t>
  </si>
  <si>
    <t>Avloppsledningar lokaler</t>
  </si>
  <si>
    <t>15.3</t>
  </si>
  <si>
    <t>Avloppsledningar stående BV till nedre källare relining alt byte</t>
  </si>
  <si>
    <t>15.4</t>
  </si>
  <si>
    <t xml:space="preserve">Avloppsledningar spolning &amp; filmning var 5e år </t>
  </si>
  <si>
    <t>15.5</t>
  </si>
  <si>
    <t>Stambyte avloppsledningar (schablon 2 000 kr/kvm ink moms)  endast rörkostnader omfattar inte nya kök och badrum</t>
  </si>
  <si>
    <t>15.6</t>
  </si>
  <si>
    <t>VV/KV/VVC rör samtliga bytta byte görs i samband med stambyte</t>
  </si>
  <si>
    <t>15.7</t>
  </si>
  <si>
    <t>Cirkulationspump</t>
  </si>
  <si>
    <t>15.8</t>
  </si>
  <si>
    <t>VVC pump Grundfos Alfa 2-25-60 180</t>
  </si>
  <si>
    <t>15.9</t>
  </si>
  <si>
    <t>Avläsning av vattenmätare 2 ggr/år senaste avläsning  2024-02-12</t>
  </si>
  <si>
    <t>Totalt vatten och avlopp</t>
  </si>
  <si>
    <t>16.1</t>
  </si>
  <si>
    <t>Takfläkt byte</t>
  </si>
  <si>
    <t>16.2</t>
  </si>
  <si>
    <t>OVK besiktning (6 år)</t>
  </si>
  <si>
    <t>2023-2024</t>
  </si>
  <si>
    <t>16.3</t>
  </si>
  <si>
    <t>Rengöring ventilationskanaler, inkl injustering</t>
  </si>
  <si>
    <t>16.4</t>
  </si>
  <si>
    <t>Totalt ventilation</t>
  </si>
  <si>
    <t>17.1</t>
  </si>
  <si>
    <t>Värmeledningar, byte stäm av med rörmokare</t>
  </si>
  <si>
    <t>17.2</t>
  </si>
  <si>
    <t>Radiatorer, byte stäm av med rörmokare</t>
  </si>
  <si>
    <t>17.3</t>
  </si>
  <si>
    <t>Stamventiler, injusteringventiler värme, byte och injustering</t>
  </si>
  <si>
    <t>17.4</t>
  </si>
  <si>
    <t>Radiatorventiler, termostater, byte injustering</t>
  </si>
  <si>
    <t>17.5</t>
  </si>
  <si>
    <t xml:space="preserve">Avgasare </t>
  </si>
  <si>
    <t>Total Värme/radiatorsystem</t>
  </si>
  <si>
    <t>Sopstation impregnerat trä för hushållsavfall-</t>
  </si>
  <si>
    <t>Totalt sophantering</t>
  </si>
  <si>
    <t>Egenkontroll - Miljöförvaltningen gör löpande kontroller</t>
  </si>
  <si>
    <t>Radonsanering lokaler</t>
  </si>
  <si>
    <t xml:space="preserve">Radonmätning </t>
  </si>
  <si>
    <t>Totalt radon åtgärder</t>
  </si>
  <si>
    <t>Energideklaration</t>
  </si>
  <si>
    <t>*</t>
  </si>
  <si>
    <t>Åtgärd som kan utföras när ekonomin tillåter</t>
  </si>
  <si>
    <t>Totalt per år</t>
  </si>
  <si>
    <t>**</t>
  </si>
  <si>
    <t>Stämmobeslut</t>
  </si>
  <si>
    <t>***</t>
  </si>
  <si>
    <t>Offert tas  in</t>
  </si>
  <si>
    <t>Snitt per år</t>
  </si>
  <si>
    <t>kr</t>
  </si>
  <si>
    <t>****</t>
  </si>
  <si>
    <t>Offert finns</t>
  </si>
  <si>
    <t>Antal lägenheter</t>
  </si>
  <si>
    <t>stycken</t>
  </si>
  <si>
    <t>Totalt per lägenhet/år</t>
  </si>
  <si>
    <t>Lägenhetsyta</t>
  </si>
  <si>
    <t>kvm</t>
  </si>
  <si>
    <t>Totalt per kvm/år</t>
  </si>
  <si>
    <t>Yta: 50 lgh/2435 kvm, 5 lokaler/214 kvm</t>
  </si>
  <si>
    <t>Byggnadsår: 1932   Skyddsklass: Grön</t>
  </si>
  <si>
    <t>Objekt</t>
  </si>
  <si>
    <t>Frekv.</t>
  </si>
  <si>
    <t>Senast</t>
  </si>
  <si>
    <t>Kostn.</t>
  </si>
  <si>
    <t>Vid tillfälle</t>
  </si>
  <si>
    <t>1-Balkonger</t>
  </si>
  <si>
    <t>Renovering platta</t>
  </si>
  <si>
    <t>Målning av räcken</t>
  </si>
  <si>
    <t>Fjärrvärmecentral</t>
  </si>
  <si>
    <t>Bergvärmepump</t>
  </si>
  <si>
    <t>Stigare lägenheter, vind, elservis huvudcentral</t>
  </si>
  <si>
    <t>2018-2020</t>
  </si>
  <si>
    <t>Målning av trapphus</t>
  </si>
  <si>
    <t>Nytt låssystem***</t>
  </si>
  <si>
    <t>Automatisk dörröppnare, dörrstängare</t>
  </si>
  <si>
    <t>Slipning av marmorgolv</t>
  </si>
  <si>
    <t>Entrématta tvätt årligen / byte 15-20 år</t>
  </si>
  <si>
    <t>Nytt entréparti gård</t>
  </si>
  <si>
    <t>Fasad Strindbergsg, samtliga sidor **</t>
  </si>
  <si>
    <t>Fönstermålning</t>
  </si>
  <si>
    <t>Planteringar, gemensam skötsel</t>
  </si>
  <si>
    <t>127 500 kr år gemensamt gårdsavtal vår andel 15% = 19 125 kr/år tillkommer ev. extra planteringar i våra egna rabatter</t>
  </si>
  <si>
    <t>Beskärning av träd</t>
  </si>
  <si>
    <t>Hårdbeskärning av popplar</t>
  </si>
  <si>
    <t>Hisskorg</t>
  </si>
  <si>
    <t>Hisslinor</t>
  </si>
  <si>
    <t>Hissmaskineri/styrsystem</t>
  </si>
  <si>
    <t>Branddörrar 6 st</t>
  </si>
  <si>
    <t>Målning av väggar och tak tvättstugor</t>
  </si>
  <si>
    <t>Belysning</t>
  </si>
  <si>
    <t>Takomläggning skiffer</t>
  </si>
  <si>
    <t>Takfönster 3 st Telias rum + lilla tvättstugan</t>
  </si>
  <si>
    <t>Regnvattensystem (rännor/stuprör)</t>
  </si>
  <si>
    <t>Röklucka installation 35 år, funktionskontroll årligen</t>
  </si>
  <si>
    <t>Målning lgh dörrar</t>
  </si>
  <si>
    <t>TM+TT+TS+mangel</t>
  </si>
  <si>
    <t>Våtrumsmatta st o lilla tvättstugan+mangelrum</t>
  </si>
  <si>
    <t>Stamventiler tappvatten</t>
  </si>
  <si>
    <t>Byte alt. relining av lokalernas avloppslednngar</t>
  </si>
  <si>
    <t>Avloppsledningar stående BV till nedre källare</t>
  </si>
  <si>
    <t>Stambyte VV/KV/VVC</t>
  </si>
  <si>
    <t>Stamspolning avloppsledningar</t>
  </si>
  <si>
    <t>OVK/ventilation (vart 6:e år</t>
  </si>
  <si>
    <t>Rengöring ventilationskanaler, injustering</t>
  </si>
  <si>
    <t>Installation av tryckstyrd ventilation</t>
  </si>
  <si>
    <t>Värmeledningar</t>
  </si>
  <si>
    <t>Radiatorer</t>
  </si>
  <si>
    <t>Stamventiler, värme byte injustering</t>
  </si>
  <si>
    <t>Egenkontroll</t>
  </si>
  <si>
    <t>Energideklaration (var 10de år)</t>
  </si>
  <si>
    <t>Total årskostnad (inkl.moms)</t>
  </si>
  <si>
    <t>Tkr/år , år 1-5</t>
  </si>
  <si>
    <t>Tkr</t>
  </si>
  <si>
    <t>Tkr/år , år 6-10</t>
  </si>
  <si>
    <t>Tkr/år , år 11-15</t>
  </si>
  <si>
    <t>*) K = Konsultkostnad</t>
  </si>
  <si>
    <t>**) Anbud tas in</t>
  </si>
  <si>
    <t>Kostnader Tkr, ex. moms</t>
  </si>
  <si>
    <t>***) Anbud finns</t>
  </si>
  <si>
    <t>Kommentar till underhållsplan för åren fram till 2070</t>
  </si>
  <si>
    <t>Föreningen är idag en ekonomisk förening och verksamheten regleras av Lag om Ekonomisk förening, Bokföringslagen med flera lagrum.</t>
  </si>
  <si>
    <t>Föreningen betalar skatt på vinsten och skattesatsen är 20,06 % från 2021.</t>
  </si>
  <si>
    <t xml:space="preserve">Föreningen är momspliktig för de intäkter och kostnader som har med delägarna och deras lägenheterna att göra. </t>
  </si>
  <si>
    <t xml:space="preserve">Uthyrning av lokaler är befriat från moms och därmed är moms på kostnader för reparation och underhåll av lokalerna inte avdragsgill. </t>
  </si>
  <si>
    <t>Föreningen kan i räkenskaperna göra avsättning till periodiseringsfond med 25 % på vinst före skatt.</t>
  </si>
  <si>
    <t xml:space="preserve">(Det är mitt förslag att föreningen fonderar överskott på ett bankkonto skilt från det som används för drift och underhåll.  </t>
  </si>
  <si>
    <t>Detta diskuterades/föreslogs av styrelsen redan 2010, men det är nog ett förslag som årsmötet tar ställning till och vi har inte diskuterat det i styrelsen)</t>
  </si>
  <si>
    <t>Föreningen kan inte låna upp pengar för omfattande underhåll utan dessa finansieras genom kapitaltillskott från delägare. Föreningen förutser inget behov av kapitaltillskott under den kommande 10-års perioden eller fram till 2031.</t>
  </si>
  <si>
    <t xml:space="preserve">Som ett komplement till kapitaltillskott, kan styrelsen föreslå att enstaka underhållskostnader och ny-till- eller ombyggnader finansieras genom att respektive delägare erhåller ett bidrag från föreningen men står för en del av kostnaden själv. </t>
  </si>
  <si>
    <t>Ett sådant exempel kan vara att byta låssystem.</t>
  </si>
  <si>
    <t>Fastigheten är byggd 1933 och underhåll av entreer, trappor, hiss, trapphus görs på sådant sätt  att fastighetens karaktär bevaras.</t>
  </si>
  <si>
    <t xml:space="preserve">Våren 2021 gav styrelsen Storholmen Teknik uppdraget att besiktiga fastigheten och lämna förslag på åtgärder. Protokollet från besiktningen dokumenterar fastighetens skick 2021 och är en viktig kunskap till kommande styrelser. </t>
  </si>
  <si>
    <t xml:space="preserve">I den enkla underhållsplanen fram till 2071 planeras fasadrenovering omkring 2035, stambyte omkring 2050 och takrenovering omkring 2060. </t>
  </si>
  <si>
    <t>Fastigheten har idag energiklassning F och framtida underhåll av fönster, fasader, tak, tvättstugor, ventilation med flera områden görs på ett sätt som kan förbättra energiklassningen.</t>
  </si>
  <si>
    <t xml:space="preserve">Mellan åren 1996-2005 genomfördes ett partiellt stambyte. Styrelsen saknar information om vad som exakt gjorts i 20-25 lägenheter och har god kunskap om åtgärder i 31 lägenheter. </t>
  </si>
  <si>
    <t xml:space="preserve">Det är ett krav att delägare som planerar att renovera kök och badrum kontaktar styrelsen. </t>
  </si>
  <si>
    <t>De kommande 5 åren avser styrelsen att reparera och rusta upp entreer, trapphus, miljön i- och kring tvättstugorna samt nedre källaren.</t>
  </si>
  <si>
    <t>Fastigheten har gamla dörrar som troligen innehåller asbest. Så länge inget görs åt dörrarna, som exempelvis byte av lås, så kan de vara kvar. Det finns i dagsläget inget krav på att byta ut dörrar med asbest.</t>
  </si>
  <si>
    <t xml:space="preserve">Låsen till de 5 entréerna är sannolikt över 40 år gamla och det finns troligen ett antal nycklar som inte kontrolleras av nuvarande ägare av lägenheter. </t>
  </si>
  <si>
    <t xml:space="preserve">När likviditeten tillåter kommer dessa lås att bytas ut tillsammans med ett byte av dörrarna till vinden, </t>
  </si>
  <si>
    <t>övre och nedre källaren samt cykelrummet, som då alla får samma lås.</t>
  </si>
  <si>
    <t>Styrelsen förutser oförändrad avgift för de kommande 5 åren eller fram till 2026 och balanserar ökande kostnader för drift och förvaltning mot underhåll.</t>
  </si>
  <si>
    <t>Myra Beckman</t>
  </si>
  <si>
    <r>
      <rPr>
        <b/>
        <sz val="11"/>
        <color rgb="FF000000"/>
        <rFont val="Calibri"/>
        <family val="2"/>
        <charset val="1"/>
      </rPr>
      <t>KONSTRUKTION OCH KOMPONENTER</t>
    </r>
    <r>
      <rPr>
        <sz val="11"/>
        <color rgb="FF000000"/>
        <rFont val="Calibri"/>
        <family val="2"/>
        <charset val="1"/>
      </rPr>
      <t xml:space="preserve">  </t>
    </r>
  </si>
  <si>
    <t>Fastigheten utgörs av ett flerbostadshus med 49 lägenheter och 4 lokaler, på vinden finns en basstation för telekommunikation</t>
  </si>
  <si>
    <t>Byggnadsår 1932. Fastigheten är grönklassad och har 8 bostadsplan samt 2 st källarplan. Övre källare inrymmer lokaldelar, undercentral,</t>
  </si>
  <si>
    <t>cykelrum, 2 mindre förråd samt elcentral. Undre källaren inrymmer lägenhetsförråd och f.d. skyddsrum som numer används till förråd.</t>
  </si>
  <si>
    <t>Vindsplanet inrymmer 2 tvättstugor, 1 mangelrum, torkvind, driftsutrymme för fläkt, kontrollrum för basstation hissmaskinrum samt lägenhetsförråd.</t>
  </si>
  <si>
    <t xml:space="preserve">STOMME </t>
  </si>
  <si>
    <t>Betong</t>
  </si>
  <si>
    <t>FASADER</t>
  </si>
  <si>
    <t>Murverk, tegel och slaggsten med ytbehandlad slätputs. Stensockel</t>
  </si>
  <si>
    <t>KÄLLARE</t>
  </si>
  <si>
    <t>Betong och murverk.</t>
  </si>
  <si>
    <t>TAK</t>
  </si>
  <si>
    <t>Skiffer</t>
  </si>
  <si>
    <t>VINDBJÄLKLAG</t>
  </si>
  <si>
    <t>Orginalisolering från 1932</t>
  </si>
  <si>
    <t>TRAPPHUS</t>
  </si>
  <si>
    <t>Trappor och vilplan är av vit marmor. Väggar och tak är målade</t>
  </si>
  <si>
    <t>Aluminiumentré samt ekdörr mot gård</t>
  </si>
  <si>
    <t>FÖNSTER</t>
  </si>
  <si>
    <t>Tvåglasfönster i hela fastigheten utom i tvättstugor (trådglas och Velux)</t>
  </si>
  <si>
    <t>VENTILATION</t>
  </si>
  <si>
    <t>Mekanisk tryckstyrd frånluft med evakueringar i kök och badrum (reglerbara don)</t>
  </si>
  <si>
    <t xml:space="preserve">Tilluftsvägar i yttervägg via Rohmedalsventiler samt i vissafall </t>
  </si>
  <si>
    <t>skafferiventiler. Central frånluftsfläkt på vinden.</t>
  </si>
  <si>
    <t>Rengöring av kanaler och injustering av ventilationsdon gjordes 2019</t>
  </si>
  <si>
    <t>RÖR</t>
  </si>
  <si>
    <t>Avloppsrör av gjutjärn &amp; plast. Varm- och kallvattenledningar av koppar</t>
  </si>
  <si>
    <r>
      <rPr>
        <b/>
        <sz val="11"/>
        <color rgb="FF000000"/>
        <rFont val="Calibri"/>
        <family val="2"/>
        <charset val="1"/>
      </rPr>
      <t>VÄRME</t>
    </r>
    <r>
      <rPr>
        <sz val="11"/>
        <color rgb="FF000000"/>
        <rFont val="Calibri"/>
        <family val="2"/>
        <charset val="1"/>
      </rPr>
      <t xml:space="preserve"> </t>
    </r>
  </si>
  <si>
    <t>Fjärrvärme 20xx i kombination med bergvärme från 2018</t>
  </si>
  <si>
    <t>El</t>
  </si>
  <si>
    <t>Lägenheterna har egna elmätare</t>
  </si>
  <si>
    <t>Samtliga stigare utbytta 2020</t>
  </si>
  <si>
    <t>ELDSTÄDER</t>
  </si>
  <si>
    <t>Lägenhet 1702 har eldstad och separat rökgaskanal med fläkt på taket</t>
  </si>
  <si>
    <t>(ej original från 1932)</t>
  </si>
  <si>
    <t>SOPHANTERING</t>
  </si>
  <si>
    <t>Kärlstation vid De Geersgatan</t>
  </si>
  <si>
    <t>HISS</t>
  </si>
  <si>
    <t>Linhiss för 4 personer, invändiga schaktdörrar</t>
  </si>
  <si>
    <t>Balkonger</t>
  </si>
  <si>
    <t xml:space="preserve">2-skiktstyp med bärande plattor av betong. Räcken utförda av </t>
  </si>
  <si>
    <t>smide och med påmonterade frontplåtar.</t>
  </si>
  <si>
    <t>Balkongrenoveringen 2016</t>
  </si>
  <si>
    <t>Fastigheten har 21 st. konsolbalkonger (en är kungsbalkong) med</t>
  </si>
  <si>
    <t xml:space="preserve"> tvåskiktade armerade betongplattor. Ovanifrån sett</t>
  </si>
  <si>
    <t>består balkongerna av en ca 75 – 80 mm tjock pågjutning, isolering och en ca 140 mm tjock</t>
  </si>
  <si>
    <t>armerad bärande betongplatta. Mellan pågjutning och betongplatta finns dropplåt i kanterna. På</t>
  </si>
  <si>
    <t>gavelfasaden mot Tessinparken har betongplattornas undersidor en ca 15 mm tjock betongram</t>
  </si>
  <si>
    <t>vid kanterna. Balkongernas räcken är gjorda av aluminium vilka är monterade på</t>
  </si>
  <si>
    <t xml:space="preserve">balkongplattors ovansidor i gängade ankarstänger. </t>
  </si>
  <si>
    <t>https://www.dropbox.com/h?preview=Teknisk+beskrivning+f%C3%B6rfr%C3%A5ngningsunderlag.pdf</t>
  </si>
  <si>
    <t>Teknisk beskrivning</t>
  </si>
  <si>
    <t>1 styck Thermia Mega fastighetsvärmepump effekt 21-88 kW som leverar ca 230 MWh värme (en normal vinter) per år.</t>
  </si>
  <si>
    <t>Fjärrvärme används som tillskottsvärme samt till allt tappvarmvatten.</t>
  </si>
  <si>
    <t>Borrtillstånd omfattar 5 stycken energibrunnar på vardera 340 meter, totalt 1 700 meter</t>
  </si>
  <si>
    <t>Hej Jan-Peter!</t>
  </si>
  <si>
    <t>Per Melin/Gerox skriver så här, avseende kostnader som härrör reparation/byte av pumpar etc.:</t>
  </si>
  <si>
    <t>”Jag brukar föreslå 4% per år (25 år) på 50% av totalsumman.</t>
  </si>
  <si>
    <t>Vidare 1-2% som markinventarier (energibrunnarna) på resterande 50%.”</t>
  </si>
  <si>
    <t>Föreslår att du pratar direkt med Per Melin, 070-538 02 98 eller per@gerox.se om du har följdfrågor på det.</t>
  </si>
  <si>
    <t>Har även ställt frågan internt på Indoor kring serviceavtalet, dock inget svar på det ännu.</t>
  </si>
  <si>
    <t>Mvh,</t>
  </si>
  <si>
    <t>Kari Fougman</t>
  </si>
  <si>
    <t>RenableIT</t>
  </si>
  <si>
    <t>kari@renableit.se</t>
  </si>
  <si>
    <t>+46 076 677 88 30</t>
  </si>
  <si>
    <t>Från: EnergyCenter &lt;energycenter@indoor.se&gt;</t>
  </si>
  <si>
    <r>
      <rPr>
        <b/>
        <sz val="12"/>
        <color rgb="FF222222"/>
        <rFont val="Calibri"/>
        <family val="2"/>
        <charset val="1"/>
      </rPr>
      <t>Skickat:</t>
    </r>
    <r>
      <rPr>
        <sz val="12"/>
        <color rgb="FF222222"/>
        <rFont val="Calibri"/>
        <family val="2"/>
        <charset val="1"/>
      </rPr>
      <t> den 11 januari 2021 09:56</t>
    </r>
  </si>
  <si>
    <t>Till: Jan-Peter Estradas &lt;janpeter.estradas@gmail.com&gt;</t>
  </si>
  <si>
    <r>
      <rPr>
        <b/>
        <sz val="12"/>
        <color rgb="FF222222"/>
        <rFont val="Calibri"/>
        <family val="2"/>
        <charset val="1"/>
      </rPr>
      <t>Ämne:</t>
    </r>
    <r>
      <rPr>
        <sz val="12"/>
        <color rgb="FF222222"/>
        <rFont val="Calibri"/>
        <family val="2"/>
        <charset val="1"/>
      </rPr>
      <t> Sv: Demonstrationen 5</t>
    </r>
  </si>
  <si>
    <t>Hej Jan-Peter.</t>
  </si>
  <si>
    <t>Ni har garanti på anläggningen fram till 2023-10-24</t>
  </si>
  <si>
    <t>Fram till dess ska ni inte få några kostnader för det som blivit installerat i det projektet.</t>
  </si>
  <si>
    <t>Serviceavtal och Indoor portalen med uppkoppling, flödesbilder, energiuppföljning, larmhantering m.m. ingår också t.o.m. 2023-10-24.</t>
  </si>
  <si>
    <t>Efter garantitidens utgång kommer ni att få en kostnad på c:a 20 000,- (exkl. moms) för Serviceavtalet och Indoor portalen.</t>
  </si>
  <si>
    <t>Övriga kostnader är väldigt svåra att förutse.</t>
  </si>
  <si>
    <t>I normala fall så är livslängden på en värmepump c:a 15 år.</t>
  </si>
  <si>
    <t>Pumpar och andra ”rörliga” delar kan slitas mer och behöva bytas innan 15 år.</t>
  </si>
  <si>
    <t>Jag skulle rekommendera att ni lägger en budget på 3000,-/år (efter garantitidens utgång) som en buffert.</t>
  </si>
  <si>
    <t>Dessutom kan ni räkna med att byta värmepump efter 15 år ( år 2033 ).</t>
  </si>
  <si>
    <t>Det är som sagt svårt att förutse exakt vad det blir för kostnader.</t>
  </si>
  <si>
    <t>Hoppas att ni är nöjda med svaret, återkom gärna om det är något mer.</t>
  </si>
  <si>
    <t>Peter Kjellgren</t>
  </si>
  <si>
    <t>Renoveringen 2014 omfattade nedanstående detaljer</t>
  </si>
  <si>
    <t>2021-2022 Målning trapphus</t>
  </si>
  <si>
    <t>Alviks Måleri</t>
  </si>
  <si>
    <t>https://www.dropbox.com/home/Demonstrationen%205/M%C3%A5lning?preview=2021+Alviks+M%C3%A5leri+rev+offert.pdf</t>
  </si>
  <si>
    <t>Måleriexpress</t>
  </si>
  <si>
    <t>https://www.dropbox.com/home/Demonstrationen%205/M%C3%A5lning?preview=2021+M%C3%A5leriexpress+offert.docx</t>
  </si>
  <si>
    <t>Dekormakarn</t>
  </si>
  <si>
    <t>Säker Bostad</t>
  </si>
  <si>
    <t>Sammanställning offerter</t>
  </si>
  <si>
    <t>https://www.dropbox.com/home/Demonstrationen%205/M%C3%A5lning?preview=2021+Sammanst%C3%A4llning+m%C3%A5lning+trapphus.xlsx</t>
  </si>
  <si>
    <t>Underhållsplan 2025 Demonstrationen 5, Strindbergsg 54</t>
  </si>
  <si>
    <t>2030-2034</t>
  </si>
  <si>
    <t>2035-2039</t>
  </si>
  <si>
    <t>2040-2044</t>
  </si>
  <si>
    <t>Radon konsult</t>
  </si>
  <si>
    <t>16.5</t>
  </si>
  <si>
    <t>Byte tilluftsfläkt lokal nr 2</t>
  </si>
  <si>
    <t>3- Brandsäkerhet</t>
  </si>
  <si>
    <t>4 - Elanläggning</t>
  </si>
  <si>
    <t>5 - Entréer</t>
  </si>
  <si>
    <t>6 - Fasader</t>
  </si>
  <si>
    <t>7 - Fjärrvärme</t>
  </si>
  <si>
    <t>8 - Gård gemensam och egna planteringar</t>
  </si>
  <si>
    <t>5.5</t>
  </si>
  <si>
    <t>5.6</t>
  </si>
  <si>
    <t>5.7</t>
  </si>
  <si>
    <t>5.8</t>
  </si>
  <si>
    <t>5.9</t>
  </si>
  <si>
    <t>5.10</t>
  </si>
  <si>
    <t>5.11</t>
  </si>
  <si>
    <t>8.5</t>
  </si>
  <si>
    <t>8.6</t>
  </si>
  <si>
    <t>8.7</t>
  </si>
  <si>
    <t>8.8</t>
  </si>
  <si>
    <t>9.1</t>
  </si>
  <si>
    <t>9.2</t>
  </si>
  <si>
    <t>9.3</t>
  </si>
  <si>
    <t>9.4</t>
  </si>
  <si>
    <t>9- Hiss</t>
  </si>
  <si>
    <t>10 - Källare/vind</t>
  </si>
  <si>
    <t>11 - Tak</t>
  </si>
  <si>
    <t>12 -Trapphus</t>
  </si>
  <si>
    <t>13- Tvättstugor</t>
  </si>
  <si>
    <t>14 - TV &amp; Bredband uppgradering till fiber?</t>
  </si>
  <si>
    <t>15 - Vatten och avlopp</t>
  </si>
  <si>
    <t>16 - Ventilation</t>
  </si>
  <si>
    <t>17 - Värme/Radiatorsystem</t>
  </si>
  <si>
    <t>18 - Sophantering</t>
  </si>
  <si>
    <t>19 - Egenkontroll</t>
  </si>
  <si>
    <t>20 - Radonmätning</t>
  </si>
  <si>
    <t>21- Energideklaration</t>
  </si>
  <si>
    <t>Årlig kontroll av röklucka och övrig brandsäkerhet på plan 8</t>
  </si>
  <si>
    <t>2.6</t>
  </si>
  <si>
    <t>Stockholm Stad årlig avgift för borrhåll</t>
  </si>
  <si>
    <t>2045-</t>
  </si>
  <si>
    <r>
      <rPr>
        <b/>
        <sz val="10"/>
        <color rgb="FF000000"/>
        <rFont val="Arial"/>
        <family val="2"/>
      </rPr>
      <t>3-Brandsäkerhet</t>
    </r>
    <r>
      <rPr>
        <sz val="10"/>
        <color rgb="FF000000"/>
        <rFont val="Arial"/>
        <family val="2"/>
      </rPr>
      <t xml:space="preserve"> kontroll röklucka och övrigt </t>
    </r>
  </si>
  <si>
    <t>Övrigt (serviceavtal) + kostnad hyra borrhål</t>
  </si>
  <si>
    <t>4-Elanläggning</t>
  </si>
  <si>
    <t>5-12 Entré/trapphus</t>
  </si>
  <si>
    <t>6-Fasader</t>
  </si>
  <si>
    <t>7-Fjärrvärme</t>
  </si>
  <si>
    <t>Ny UC</t>
  </si>
  <si>
    <t>8-Gård gemensam och egna planteringar</t>
  </si>
  <si>
    <t>9-Hiss</t>
  </si>
  <si>
    <t>10-Källare/vind</t>
  </si>
  <si>
    <t>11-Tak</t>
  </si>
  <si>
    <t>12-Trapphus</t>
  </si>
  <si>
    <t>13-Tvättstugor</t>
  </si>
  <si>
    <t>15-Vatten och avlopp</t>
  </si>
  <si>
    <t>16-Ventilation</t>
  </si>
  <si>
    <t>17-Värme/radiatorsystem</t>
  </si>
  <si>
    <r>
      <t>Sopstation impregnerat trä för matavfall inkl</t>
    </r>
    <r>
      <rPr>
        <sz val="11"/>
        <rFont val="Calibri"/>
        <family val="2"/>
        <charset val="1"/>
      </rPr>
      <t xml:space="preserve"> bygglov - Dispens tillsv</t>
    </r>
  </si>
  <si>
    <t>19-20-21 myndighetskontroller</t>
  </si>
  <si>
    <t>Radonåtgärder mätning och radonpumpar</t>
  </si>
  <si>
    <t>Totalt brandsäkerhet</t>
  </si>
  <si>
    <t>2-7-Berg-och fjärrvärme</t>
  </si>
  <si>
    <t xml:space="preserve">Röklucka funktionskontroll genom Presto varje år </t>
  </si>
  <si>
    <t>Serviceavtal Indoor utan kostnad fram till 2024 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</si>
</sst>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&quot; kr&quot;"/>
    <numFmt numFmtId="165" formatCode="0.0%"/>
    <numFmt numFmtId="166" formatCode="_-* #,##0\ [$kr-41D]_-;\-* #,##0\ [$kr-41D]_-;_-* \-??\ [$kr-41D]_-;_-@_-"/>
    <numFmt numFmtId="167" formatCode=";;;"/>
    <numFmt numFmtId="168" formatCode="#,##0\ _k_r"/>
  </numFmts>
  <fonts count="40" x14ac:knownFonts="1">
    <font>
      <sz val="11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b/>
      <sz val="11"/>
      <name val="Calibri"/>
      <family val="2"/>
      <charset val="1"/>
    </font>
    <font>
      <b/>
      <sz val="10"/>
      <color rgb="FF000000"/>
      <name val="Arial"/>
      <family val="2"/>
      <charset val="1"/>
    </font>
    <font>
      <i/>
      <sz val="11"/>
      <color rgb="FF000000"/>
      <name val="Calibri"/>
      <family val="2"/>
      <charset val="1"/>
    </font>
    <font>
      <sz val="11"/>
      <name val="Calibri"/>
      <family val="2"/>
      <charset val="1"/>
    </font>
    <font>
      <b/>
      <sz val="11"/>
      <color rgb="FFFF0000"/>
      <name val="Calibri"/>
      <family val="2"/>
      <charset val="1"/>
    </font>
    <font>
      <sz val="11"/>
      <color rgb="FF333333"/>
      <name val="Calibri"/>
      <family val="2"/>
      <charset val="1"/>
    </font>
    <font>
      <sz val="11"/>
      <color rgb="FF333333"/>
      <name val="Source Sans Pro"/>
      <family val="2"/>
      <charset val="1"/>
    </font>
    <font>
      <sz val="45"/>
      <name val="Arial"/>
      <family val="2"/>
      <charset val="1"/>
    </font>
    <font>
      <b/>
      <sz val="11"/>
      <color rgb="FF595959"/>
      <name val="Calibri"/>
      <family val="2"/>
      <charset val="1"/>
    </font>
    <font>
      <b/>
      <sz val="8"/>
      <color rgb="FF595959"/>
      <name val="Arial"/>
      <family val="2"/>
      <charset val="1"/>
    </font>
    <font>
      <sz val="10"/>
      <name val="Arial"/>
      <family val="2"/>
    </font>
    <font>
      <sz val="9"/>
      <color rgb="FF000000"/>
      <name val="Tahoma"/>
      <family val="2"/>
      <charset val="1"/>
    </font>
    <font>
      <b/>
      <sz val="12"/>
      <name val="Calibri"/>
      <family val="2"/>
      <charset val="1"/>
    </font>
    <font>
      <b/>
      <sz val="10"/>
      <name val="Calibri"/>
      <family val="2"/>
      <charset val="1"/>
    </font>
    <font>
      <sz val="6"/>
      <name val="Calibri"/>
      <family val="2"/>
      <charset val="1"/>
    </font>
    <font>
      <sz val="10"/>
      <name val="Arial"/>
      <family val="2"/>
      <charset val="1"/>
    </font>
    <font>
      <sz val="10"/>
      <color rgb="FF000000"/>
      <name val="Arial"/>
      <family val="2"/>
      <charset val="1"/>
    </font>
    <font>
      <b/>
      <sz val="10"/>
      <name val="Arial"/>
      <family val="2"/>
      <charset val="1"/>
    </font>
    <font>
      <sz val="10"/>
      <color rgb="FF7C7C7C"/>
      <name val="Arial"/>
      <family val="2"/>
      <charset val="1"/>
    </font>
    <font>
      <b/>
      <u/>
      <sz val="10"/>
      <name val="Arial"/>
      <family val="2"/>
      <charset val="1"/>
    </font>
    <font>
      <u/>
      <sz val="10"/>
      <name val="Arial"/>
      <family val="2"/>
      <charset val="1"/>
    </font>
    <font>
      <i/>
      <sz val="10"/>
      <name val="Arial"/>
      <family val="2"/>
      <charset val="1"/>
    </font>
    <font>
      <b/>
      <i/>
      <sz val="10"/>
      <name val="Arial"/>
      <family val="2"/>
      <charset val="1"/>
    </font>
    <font>
      <i/>
      <sz val="12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b/>
      <sz val="16"/>
      <color rgb="FF000000"/>
      <name val="Calibri"/>
      <family val="2"/>
      <charset val="1"/>
    </font>
    <font>
      <sz val="16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b/>
      <sz val="12"/>
      <color rgb="FF5F6368"/>
      <name val="Calibri"/>
      <family val="2"/>
      <charset val="1"/>
    </font>
    <font>
      <sz val="12"/>
      <color rgb="FF222222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sz val="12"/>
      <color rgb="FF222222"/>
      <name val="Calibri"/>
      <family val="2"/>
      <charset val="1"/>
    </font>
    <font>
      <b/>
      <sz val="18"/>
      <color rgb="FF000000"/>
      <name val="Calibri"/>
      <family val="2"/>
      <charset val="1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i/>
      <sz val="11"/>
      <color rgb="FF00000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D9D9D9"/>
        <bgColor rgb="FFD0CECE"/>
      </patternFill>
    </fill>
    <fill>
      <patternFill patternType="solid">
        <fgColor rgb="FFBFBFBF"/>
        <bgColor rgb="FFC0C0C0"/>
      </patternFill>
    </fill>
    <fill>
      <patternFill patternType="solid">
        <fgColor rgb="FFC0C0C0"/>
        <bgColor rgb="FFBFBFBF"/>
      </patternFill>
    </fill>
    <fill>
      <patternFill patternType="solid">
        <fgColor theme="2" tint="-9.9978637043366805E-2"/>
        <bgColor rgb="FFD9D9D9"/>
      </patternFill>
    </fill>
    <fill>
      <patternFill patternType="solid">
        <fgColor rgb="FFD4D4D4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 style="medium">
        <color auto="1"/>
      </bottom>
      <diagonal/>
    </border>
    <border>
      <left style="thick">
        <color auto="1"/>
      </left>
      <right/>
      <top/>
      <bottom style="medium">
        <color auto="1"/>
      </bottom>
      <diagonal/>
    </border>
  </borders>
  <cellStyleXfs count="1">
    <xf numFmtId="0" fontId="0" fillId="0" borderId="0"/>
  </cellStyleXfs>
  <cellXfs count="181">
    <xf numFmtId="0" fontId="0" fillId="0" borderId="0" xfId="0"/>
    <xf numFmtId="0" fontId="1" fillId="0" borderId="0" xfId="0" applyFont="1"/>
    <xf numFmtId="164" fontId="0" fillId="0" borderId="0" xfId="0" applyNumberFormat="1"/>
    <xf numFmtId="0" fontId="2" fillId="0" borderId="0" xfId="0" applyFont="1"/>
    <xf numFmtId="0" fontId="0" fillId="2" borderId="0" xfId="0" applyFill="1"/>
    <xf numFmtId="164" fontId="0" fillId="2" borderId="0" xfId="0" applyNumberFormat="1" applyFill="1"/>
    <xf numFmtId="14" fontId="3" fillId="0" borderId="0" xfId="0" applyNumberFormat="1" applyFont="1" applyAlignment="1">
      <alignment horizontal="left"/>
    </xf>
    <xf numFmtId="165" fontId="0" fillId="0" borderId="0" xfId="0" applyNumberFormat="1" applyAlignment="1">
      <alignment horizontal="center"/>
    </xf>
    <xf numFmtId="2" fontId="0" fillId="0" borderId="0" xfId="0" applyNumberFormat="1"/>
    <xf numFmtId="0" fontId="0" fillId="3" borderId="0" xfId="0" applyFill="1"/>
    <xf numFmtId="0" fontId="1" fillId="0" borderId="0" xfId="0" applyFont="1" applyAlignment="1">
      <alignment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164" fontId="1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1" fontId="1" fillId="0" borderId="0" xfId="0" applyNumberFormat="1" applyFont="1" applyAlignment="1">
      <alignment horizontal="center" vertical="center" wrapText="1"/>
    </xf>
    <xf numFmtId="3" fontId="1" fillId="0" borderId="0" xfId="0" applyNumberFormat="1" applyFont="1" applyAlignment="1">
      <alignment horizontal="center" vertical="center" wrapText="1"/>
    </xf>
    <xf numFmtId="3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vertical="center"/>
    </xf>
    <xf numFmtId="0" fontId="1" fillId="4" borderId="0" xfId="0" applyFont="1" applyFill="1"/>
    <xf numFmtId="0" fontId="0" fillId="4" borderId="0" xfId="0" applyFill="1"/>
    <xf numFmtId="0" fontId="0" fillId="4" borderId="0" xfId="0" applyFill="1" applyAlignment="1">
      <alignment horizontal="center"/>
    </xf>
    <xf numFmtId="164" fontId="0" fillId="4" borderId="0" xfId="0" applyNumberFormat="1" applyFill="1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5" fillId="0" borderId="0" xfId="0" applyFont="1"/>
    <xf numFmtId="164" fontId="6" fillId="0" borderId="0" xfId="0" applyNumberFormat="1" applyFont="1"/>
    <xf numFmtId="164" fontId="7" fillId="0" borderId="0" xfId="0" applyNumberFormat="1" applyFont="1"/>
    <xf numFmtId="164" fontId="0" fillId="0" borderId="0" xfId="0" applyNumberFormat="1" applyAlignment="1">
      <alignment horizontal="right"/>
    </xf>
    <xf numFmtId="164" fontId="7" fillId="0" borderId="0" xfId="0" applyNumberFormat="1" applyFont="1" applyAlignment="1">
      <alignment horizontal="right"/>
    </xf>
    <xf numFmtId="166" fontId="0" fillId="0" borderId="0" xfId="0" applyNumberFormat="1"/>
    <xf numFmtId="0" fontId="0" fillId="2" borderId="0" xfId="0" applyFill="1" applyAlignment="1">
      <alignment horizontal="center"/>
    </xf>
    <xf numFmtId="167" fontId="0" fillId="2" borderId="0" xfId="0" applyNumberFormat="1" applyFill="1"/>
    <xf numFmtId="3" fontId="1" fillId="0" borderId="0" xfId="0" applyNumberFormat="1" applyFont="1"/>
    <xf numFmtId="164" fontId="1" fillId="2" borderId="0" xfId="0" applyNumberFormat="1" applyFont="1" applyFill="1"/>
    <xf numFmtId="0" fontId="6" fillId="2" borderId="0" xfId="0" applyFont="1" applyFill="1"/>
    <xf numFmtId="168" fontId="0" fillId="0" borderId="0" xfId="0" applyNumberFormat="1"/>
    <xf numFmtId="0" fontId="8" fillId="2" borderId="0" xfId="0" applyFont="1" applyFill="1"/>
    <xf numFmtId="0" fontId="9" fillId="2" borderId="0" xfId="0" applyFont="1" applyFill="1"/>
    <xf numFmtId="164" fontId="0" fillId="0" borderId="0" xfId="0" applyNumberFormat="1" applyAlignment="1">
      <alignment horizontal="left"/>
    </xf>
    <xf numFmtId="167" fontId="0" fillId="0" borderId="0" xfId="0" applyNumberFormat="1"/>
    <xf numFmtId="0" fontId="0" fillId="0" borderId="0" xfId="0" applyAlignment="1">
      <alignment horizontal="center" vertical="center"/>
    </xf>
    <xf numFmtId="0" fontId="0" fillId="2" borderId="0" xfId="0" applyFill="1" applyAlignment="1">
      <alignment wrapText="1"/>
    </xf>
    <xf numFmtId="164" fontId="0" fillId="0" borderId="0" xfId="0" applyNumberFormat="1" applyAlignment="1">
      <alignment vertical="center"/>
    </xf>
    <xf numFmtId="0" fontId="10" fillId="0" borderId="0" xfId="0" applyFont="1" applyAlignment="1">
      <alignment horizontal="center" vertical="center" wrapText="1"/>
    </xf>
    <xf numFmtId="49" fontId="0" fillId="0" borderId="0" xfId="0" applyNumberFormat="1" applyAlignment="1">
      <alignment horizontal="center"/>
    </xf>
    <xf numFmtId="167" fontId="1" fillId="0" borderId="0" xfId="0" applyNumberFormat="1" applyFont="1"/>
    <xf numFmtId="0" fontId="1" fillId="0" borderId="0" xfId="0" applyFont="1" applyAlignment="1">
      <alignment horizontal="center"/>
    </xf>
    <xf numFmtId="164" fontId="1" fillId="0" borderId="0" xfId="0" applyNumberFormat="1" applyFont="1"/>
    <xf numFmtId="0" fontId="1" fillId="2" borderId="0" xfId="0" applyFont="1" applyFill="1"/>
    <xf numFmtId="0" fontId="1" fillId="0" borderId="0" xfId="0" applyFont="1" applyAlignment="1">
      <alignment horizontal="right"/>
    </xf>
    <xf numFmtId="0" fontId="11" fillId="0" borderId="0" xfId="0" applyFont="1" applyAlignment="1">
      <alignment vertical="center"/>
    </xf>
    <xf numFmtId="3" fontId="0" fillId="0" borderId="0" xfId="0" applyNumberFormat="1"/>
    <xf numFmtId="164" fontId="1" fillId="0" borderId="0" xfId="0" applyNumberFormat="1" applyFont="1" applyAlignment="1">
      <alignment horizontal="left"/>
    </xf>
    <xf numFmtId="0" fontId="12" fillId="0" borderId="0" xfId="0" applyFont="1" applyAlignment="1">
      <alignment vertical="center"/>
    </xf>
    <xf numFmtId="0" fontId="0" fillId="0" borderId="0" xfId="0" applyAlignment="1">
      <alignment horizontal="right"/>
    </xf>
    <xf numFmtId="0" fontId="15" fillId="0" borderId="0" xfId="0" applyFont="1"/>
    <xf numFmtId="0" fontId="15" fillId="0" borderId="0" xfId="0" applyFont="1" applyAlignment="1">
      <alignment horizontal="center"/>
    </xf>
    <xf numFmtId="0" fontId="16" fillId="0" borderId="0" xfId="0" applyFont="1"/>
    <xf numFmtId="3" fontId="15" fillId="0" borderId="0" xfId="0" applyNumberFormat="1" applyFont="1"/>
    <xf numFmtId="14" fontId="17" fillId="0" borderId="0" xfId="0" applyNumberFormat="1" applyFont="1" applyAlignment="1">
      <alignment horizontal="left" indent="1"/>
    </xf>
    <xf numFmtId="0" fontId="15" fillId="0" borderId="0" xfId="0" applyFont="1" applyAlignment="1">
      <alignment horizontal="right"/>
    </xf>
    <xf numFmtId="0" fontId="18" fillId="0" borderId="0" xfId="0" applyFont="1"/>
    <xf numFmtId="0" fontId="18" fillId="0" borderId="1" xfId="0" applyFont="1" applyBorder="1" applyAlignment="1">
      <alignment horizontal="center"/>
    </xf>
    <xf numFmtId="0" fontId="19" fillId="0" borderId="0" xfId="0" applyFont="1"/>
    <xf numFmtId="0" fontId="20" fillId="0" borderId="0" xfId="0" applyFont="1"/>
    <xf numFmtId="3" fontId="19" fillId="0" borderId="0" xfId="0" applyNumberFormat="1" applyFont="1"/>
    <xf numFmtId="14" fontId="18" fillId="0" borderId="0" xfId="0" applyNumberFormat="1" applyFont="1"/>
    <xf numFmtId="0" fontId="21" fillId="0" borderId="0" xfId="0" applyFont="1"/>
    <xf numFmtId="0" fontId="20" fillId="0" borderId="2" xfId="0" applyFont="1" applyBorder="1" applyAlignment="1">
      <alignment vertical="center" wrapText="1"/>
    </xf>
    <xf numFmtId="0" fontId="20" fillId="0" borderId="2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/>
    </xf>
    <xf numFmtId="1" fontId="20" fillId="0" borderId="5" xfId="0" applyNumberFormat="1" applyFont="1" applyBorder="1" applyAlignment="1">
      <alignment horizontal="center" vertical="center" wrapText="1"/>
    </xf>
    <xf numFmtId="0" fontId="20" fillId="5" borderId="6" xfId="0" applyFont="1" applyFill="1" applyBorder="1"/>
    <xf numFmtId="3" fontId="20" fillId="5" borderId="6" xfId="0" applyNumberFormat="1" applyFont="1" applyFill="1" applyBorder="1" applyAlignment="1">
      <alignment horizontal="center"/>
    </xf>
    <xf numFmtId="3" fontId="20" fillId="5" borderId="7" xfId="0" applyNumberFormat="1" applyFont="1" applyFill="1" applyBorder="1" applyAlignment="1">
      <alignment horizontal="center"/>
    </xf>
    <xf numFmtId="3" fontId="18" fillId="5" borderId="8" xfId="0" applyNumberFormat="1" applyFont="1" applyFill="1" applyBorder="1"/>
    <xf numFmtId="3" fontId="18" fillId="5" borderId="7" xfId="0" applyNumberFormat="1" applyFont="1" applyFill="1" applyBorder="1"/>
    <xf numFmtId="3" fontId="18" fillId="5" borderId="9" xfId="0" applyNumberFormat="1" applyFont="1" applyFill="1" applyBorder="1" applyAlignment="1">
      <alignment horizontal="right"/>
    </xf>
    <xf numFmtId="0" fontId="18" fillId="0" borderId="10" xfId="0" applyFont="1" applyBorder="1"/>
    <xf numFmtId="3" fontId="18" fillId="0" borderId="10" xfId="0" applyNumberFormat="1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3" fontId="18" fillId="0" borderId="11" xfId="0" applyNumberFormat="1" applyFont="1" applyBorder="1" applyAlignment="1">
      <alignment horizontal="center"/>
    </xf>
    <xf numFmtId="3" fontId="19" fillId="0" borderId="11" xfId="0" applyNumberFormat="1" applyFont="1" applyBorder="1"/>
    <xf numFmtId="3" fontId="19" fillId="0" borderId="11" xfId="0" applyNumberFormat="1" applyFont="1" applyBorder="1" applyAlignment="1">
      <alignment horizontal="right"/>
    </xf>
    <xf numFmtId="0" fontId="20" fillId="5" borderId="10" xfId="0" applyFont="1" applyFill="1" applyBorder="1"/>
    <xf numFmtId="3" fontId="20" fillId="5" borderId="10" xfId="0" applyNumberFormat="1" applyFont="1" applyFill="1" applyBorder="1" applyAlignment="1">
      <alignment horizontal="center"/>
    </xf>
    <xf numFmtId="0" fontId="20" fillId="5" borderId="11" xfId="0" applyFont="1" applyFill="1" applyBorder="1" applyAlignment="1">
      <alignment horizontal="center"/>
    </xf>
    <xf numFmtId="3" fontId="20" fillId="5" borderId="11" xfId="0" applyNumberFormat="1" applyFont="1" applyFill="1" applyBorder="1" applyAlignment="1">
      <alignment horizontal="center"/>
    </xf>
    <xf numFmtId="3" fontId="19" fillId="5" borderId="11" xfId="0" applyNumberFormat="1" applyFont="1" applyFill="1" applyBorder="1"/>
    <xf numFmtId="3" fontId="19" fillId="5" borderId="11" xfId="0" applyNumberFormat="1" applyFont="1" applyFill="1" applyBorder="1" applyAlignment="1">
      <alignment horizontal="right"/>
    </xf>
    <xf numFmtId="0" fontId="18" fillId="2" borderId="6" xfId="0" applyFont="1" applyFill="1" applyBorder="1"/>
    <xf numFmtId="3" fontId="18" fillId="2" borderId="10" xfId="0" applyNumberFormat="1" applyFont="1" applyFill="1" applyBorder="1" applyAlignment="1">
      <alignment horizontal="center"/>
    </xf>
    <xf numFmtId="3" fontId="19" fillId="2" borderId="11" xfId="0" applyNumberFormat="1" applyFont="1" applyFill="1" applyBorder="1"/>
    <xf numFmtId="0" fontId="20" fillId="5" borderId="12" xfId="0" applyFont="1" applyFill="1" applyBorder="1"/>
    <xf numFmtId="0" fontId="19" fillId="0" borderId="10" xfId="0" applyFont="1" applyBorder="1" applyAlignment="1">
      <alignment vertical="center"/>
    </xf>
    <xf numFmtId="3" fontId="19" fillId="0" borderId="10" xfId="0" applyNumberFormat="1" applyFont="1" applyBorder="1" applyAlignment="1">
      <alignment horizontal="center" vertical="center"/>
    </xf>
    <xf numFmtId="3" fontId="19" fillId="0" borderId="11" xfId="0" applyNumberFormat="1" applyFont="1" applyBorder="1" applyAlignment="1">
      <alignment horizontal="left" wrapText="1"/>
    </xf>
    <xf numFmtId="3" fontId="19" fillId="0" borderId="11" xfId="0" applyNumberFormat="1" applyFont="1" applyBorder="1" applyAlignment="1">
      <alignment horizontal="center" vertical="center"/>
    </xf>
    <xf numFmtId="3" fontId="0" fillId="0" borderId="11" xfId="0" applyNumberFormat="1" applyBorder="1"/>
    <xf numFmtId="14" fontId="18" fillId="0" borderId="0" xfId="0" applyNumberFormat="1" applyFont="1" applyAlignment="1">
      <alignment horizontal="left" indent="1"/>
    </xf>
    <xf numFmtId="1" fontId="18" fillId="0" borderId="10" xfId="0" applyNumberFormat="1" applyFont="1" applyBorder="1"/>
    <xf numFmtId="1" fontId="0" fillId="0" borderId="0" xfId="0" applyNumberFormat="1"/>
    <xf numFmtId="0" fontId="18" fillId="2" borderId="10" xfId="0" applyFont="1" applyFill="1" applyBorder="1"/>
    <xf numFmtId="0" fontId="18" fillId="2" borderId="11" xfId="0" applyFont="1" applyFill="1" applyBorder="1" applyAlignment="1">
      <alignment horizontal="center"/>
    </xf>
    <xf numFmtId="3" fontId="18" fillId="2" borderId="11" xfId="0" applyNumberFormat="1" applyFont="1" applyFill="1" applyBorder="1" applyAlignment="1">
      <alignment horizontal="center"/>
    </xf>
    <xf numFmtId="0" fontId="20" fillId="6" borderId="10" xfId="0" applyFont="1" applyFill="1" applyBorder="1"/>
    <xf numFmtId="3" fontId="22" fillId="6" borderId="10" xfId="0" applyNumberFormat="1" applyFont="1" applyFill="1" applyBorder="1" applyAlignment="1">
      <alignment horizontal="center"/>
    </xf>
    <xf numFmtId="0" fontId="22" fillId="6" borderId="11" xfId="0" applyFont="1" applyFill="1" applyBorder="1" applyAlignment="1">
      <alignment horizontal="center"/>
    </xf>
    <xf numFmtId="3" fontId="22" fillId="6" borderId="11" xfId="0" applyNumberFormat="1" applyFont="1" applyFill="1" applyBorder="1" applyAlignment="1">
      <alignment horizontal="center"/>
    </xf>
    <xf numFmtId="3" fontId="18" fillId="6" borderId="11" xfId="0" applyNumberFormat="1" applyFont="1" applyFill="1" applyBorder="1"/>
    <xf numFmtId="3" fontId="18" fillId="6" borderId="11" xfId="0" applyNumberFormat="1" applyFont="1" applyFill="1" applyBorder="1" applyAlignment="1">
      <alignment horizontal="right"/>
    </xf>
    <xf numFmtId="3" fontId="18" fillId="0" borderId="11" xfId="0" applyNumberFormat="1" applyFont="1" applyBorder="1"/>
    <xf numFmtId="3" fontId="18" fillId="0" borderId="11" xfId="0" applyNumberFormat="1" applyFont="1" applyBorder="1" applyAlignment="1">
      <alignment horizontal="right"/>
    </xf>
    <xf numFmtId="3" fontId="18" fillId="2" borderId="11" xfId="0" applyNumberFormat="1" applyFont="1" applyFill="1" applyBorder="1"/>
    <xf numFmtId="3" fontId="18" fillId="2" borderId="11" xfId="0" applyNumberFormat="1" applyFont="1" applyFill="1" applyBorder="1" applyAlignment="1">
      <alignment horizontal="right"/>
    </xf>
    <xf numFmtId="0" fontId="0" fillId="0" borderId="12" xfId="0" applyBorder="1"/>
    <xf numFmtId="3" fontId="18" fillId="5" borderId="11" xfId="0" applyNumberFormat="1" applyFont="1" applyFill="1" applyBorder="1"/>
    <xf numFmtId="3" fontId="18" fillId="5" borderId="11" xfId="0" applyNumberFormat="1" applyFont="1" applyFill="1" applyBorder="1" applyAlignment="1">
      <alignment horizontal="right"/>
    </xf>
    <xf numFmtId="0" fontId="20" fillId="7" borderId="10" xfId="0" applyFont="1" applyFill="1" applyBorder="1"/>
    <xf numFmtId="3" fontId="18" fillId="7" borderId="10" xfId="0" applyNumberFormat="1" applyFont="1" applyFill="1" applyBorder="1" applyAlignment="1">
      <alignment horizontal="center"/>
    </xf>
    <xf numFmtId="0" fontId="18" fillId="7" borderId="11" xfId="0" applyFont="1" applyFill="1" applyBorder="1" applyAlignment="1">
      <alignment horizontal="center"/>
    </xf>
    <xf numFmtId="3" fontId="18" fillId="7" borderId="11" xfId="0" applyNumberFormat="1" applyFont="1" applyFill="1" applyBorder="1" applyAlignment="1">
      <alignment horizontal="center"/>
    </xf>
    <xf numFmtId="3" fontId="18" fillId="7" borderId="11" xfId="0" applyNumberFormat="1" applyFont="1" applyFill="1" applyBorder="1"/>
    <xf numFmtId="3" fontId="18" fillId="7" borderId="11" xfId="0" applyNumberFormat="1" applyFont="1" applyFill="1" applyBorder="1" applyAlignment="1">
      <alignment horizontal="right"/>
    </xf>
    <xf numFmtId="0" fontId="4" fillId="5" borderId="10" xfId="0" applyFont="1" applyFill="1" applyBorder="1"/>
    <xf numFmtId="3" fontId="4" fillId="5" borderId="10" xfId="0" applyNumberFormat="1" applyFont="1" applyFill="1" applyBorder="1" applyAlignment="1">
      <alignment horizontal="center"/>
    </xf>
    <xf numFmtId="0" fontId="4" fillId="5" borderId="11" xfId="0" applyFont="1" applyFill="1" applyBorder="1" applyAlignment="1">
      <alignment horizontal="center"/>
    </xf>
    <xf numFmtId="3" fontId="4" fillId="5" borderId="11" xfId="0" applyNumberFormat="1" applyFont="1" applyFill="1" applyBorder="1" applyAlignment="1">
      <alignment horizontal="center"/>
    </xf>
    <xf numFmtId="0" fontId="19" fillId="0" borderId="10" xfId="0" applyFont="1" applyBorder="1"/>
    <xf numFmtId="3" fontId="19" fillId="0" borderId="10" xfId="0" applyNumberFormat="1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3" fontId="19" fillId="0" borderId="11" xfId="0" applyNumberFormat="1" applyFont="1" applyBorder="1" applyAlignment="1">
      <alignment horizontal="center"/>
    </xf>
    <xf numFmtId="3" fontId="20" fillId="6" borderId="10" xfId="0" applyNumberFormat="1" applyFont="1" applyFill="1" applyBorder="1" applyAlignment="1">
      <alignment horizontal="center"/>
    </xf>
    <xf numFmtId="0" fontId="20" fillId="6" borderId="11" xfId="0" applyFont="1" applyFill="1" applyBorder="1" applyAlignment="1">
      <alignment horizontal="center"/>
    </xf>
    <xf numFmtId="3" fontId="20" fillId="6" borderId="11" xfId="0" applyNumberFormat="1" applyFont="1" applyFill="1" applyBorder="1" applyAlignment="1">
      <alignment horizontal="center"/>
    </xf>
    <xf numFmtId="0" fontId="23" fillId="6" borderId="11" xfId="0" applyFont="1" applyFill="1" applyBorder="1" applyAlignment="1">
      <alignment horizontal="center"/>
    </xf>
    <xf numFmtId="3" fontId="23" fillId="6" borderId="11" xfId="0" applyNumberFormat="1" applyFont="1" applyFill="1" applyBorder="1" applyAlignment="1">
      <alignment horizontal="center"/>
    </xf>
    <xf numFmtId="3" fontId="20" fillId="2" borderId="10" xfId="0" applyNumberFormat="1" applyFont="1" applyFill="1" applyBorder="1" applyAlignment="1">
      <alignment horizontal="center"/>
    </xf>
    <xf numFmtId="3" fontId="18" fillId="2" borderId="13" xfId="0" applyNumberFormat="1" applyFont="1" applyFill="1" applyBorder="1" applyAlignment="1">
      <alignment horizontal="center"/>
    </xf>
    <xf numFmtId="0" fontId="18" fillId="2" borderId="14" xfId="0" applyFont="1" applyFill="1" applyBorder="1" applyAlignment="1">
      <alignment horizontal="center"/>
    </xf>
    <xf numFmtId="3" fontId="18" fillId="2" borderId="14" xfId="0" applyNumberFormat="1" applyFont="1" applyFill="1" applyBorder="1" applyAlignment="1">
      <alignment horizontal="center"/>
    </xf>
    <xf numFmtId="3" fontId="18" fillId="2" borderId="14" xfId="0" applyNumberFormat="1" applyFont="1" applyFill="1" applyBorder="1"/>
    <xf numFmtId="3" fontId="18" fillId="2" borderId="15" xfId="0" applyNumberFormat="1" applyFont="1" applyFill="1" applyBorder="1" applyAlignment="1">
      <alignment horizontal="right"/>
    </xf>
    <xf numFmtId="0" fontId="18" fillId="0" borderId="2" xfId="0" applyFont="1" applyBorder="1"/>
    <xf numFmtId="3" fontId="18" fillId="0" borderId="5" xfId="0" applyNumberFormat="1" applyFont="1" applyBorder="1" applyAlignment="1">
      <alignment horizontal="center"/>
    </xf>
    <xf numFmtId="3" fontId="18" fillId="2" borderId="3" xfId="0" applyNumberFormat="1" applyFont="1" applyFill="1" applyBorder="1"/>
    <xf numFmtId="3" fontId="18" fillId="0" borderId="16" xfId="0" applyNumberFormat="1" applyFont="1" applyBorder="1"/>
    <xf numFmtId="3" fontId="18" fillId="0" borderId="17" xfId="0" applyNumberFormat="1" applyFont="1" applyBorder="1"/>
    <xf numFmtId="3" fontId="18" fillId="0" borderId="17" xfId="0" applyNumberFormat="1" applyFont="1" applyBorder="1" applyAlignment="1">
      <alignment horizontal="right"/>
    </xf>
    <xf numFmtId="0" fontId="18" fillId="0" borderId="18" xfId="0" applyFont="1" applyBorder="1"/>
    <xf numFmtId="0" fontId="18" fillId="0" borderId="5" xfId="0" applyFont="1" applyBorder="1" applyAlignment="1">
      <alignment horizontal="center"/>
    </xf>
    <xf numFmtId="3" fontId="20" fillId="0" borderId="3" xfId="0" applyNumberFormat="1" applyFont="1" applyBorder="1"/>
    <xf numFmtId="0" fontId="18" fillId="0" borderId="19" xfId="0" applyFont="1" applyBorder="1"/>
    <xf numFmtId="3" fontId="20" fillId="0" borderId="4" xfId="0" applyNumberFormat="1" applyFont="1" applyBorder="1"/>
    <xf numFmtId="0" fontId="0" fillId="0" borderId="5" xfId="0" applyBorder="1"/>
    <xf numFmtId="0" fontId="18" fillId="0" borderId="0" xfId="0" applyFont="1" applyAlignment="1">
      <alignment horizontal="center"/>
    </xf>
    <xf numFmtId="0" fontId="18" fillId="2" borderId="0" xfId="0" applyFont="1" applyFill="1"/>
    <xf numFmtId="0" fontId="24" fillId="3" borderId="0" xfId="0" applyFont="1" applyFill="1"/>
    <xf numFmtId="0" fontId="25" fillId="3" borderId="0" xfId="0" applyFont="1" applyFill="1"/>
    <xf numFmtId="0" fontId="26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/>
    <xf numFmtId="0" fontId="29" fillId="0" borderId="0" xfId="0" applyFont="1"/>
    <xf numFmtId="0" fontId="30" fillId="0" borderId="0" xfId="0" applyFont="1"/>
    <xf numFmtId="0" fontId="27" fillId="0" borderId="0" xfId="0" applyFont="1"/>
    <xf numFmtId="14" fontId="31" fillId="0" borderId="0" xfId="0" applyNumberFormat="1" applyFont="1" applyAlignment="1">
      <alignment horizontal="left" vertical="center"/>
    </xf>
    <xf numFmtId="0" fontId="32" fillId="0" borderId="0" xfId="0" applyFont="1" applyAlignment="1">
      <alignment vertical="center" wrapText="1"/>
    </xf>
    <xf numFmtId="0" fontId="27" fillId="0" borderId="0" xfId="0" applyFont="1" applyAlignment="1">
      <alignment vertical="center" wrapText="1"/>
    </xf>
    <xf numFmtId="0" fontId="33" fillId="0" borderId="0" xfId="0" applyFont="1" applyAlignment="1">
      <alignment vertical="center" wrapText="1"/>
    </xf>
    <xf numFmtId="0" fontId="34" fillId="0" borderId="0" xfId="0" applyFont="1" applyAlignment="1">
      <alignment vertical="center" wrapText="1"/>
    </xf>
    <xf numFmtId="0" fontId="35" fillId="0" borderId="0" xfId="0" applyFont="1"/>
    <xf numFmtId="164" fontId="36" fillId="0" borderId="0" xfId="0" applyNumberFormat="1" applyFont="1"/>
    <xf numFmtId="0" fontId="36" fillId="0" borderId="0" xfId="0" applyFont="1"/>
    <xf numFmtId="4" fontId="0" fillId="0" borderId="0" xfId="0" applyNumberFormat="1"/>
    <xf numFmtId="0" fontId="37" fillId="8" borderId="0" xfId="0" applyFont="1" applyFill="1"/>
    <xf numFmtId="3" fontId="13" fillId="5" borderId="10" xfId="0" applyNumberFormat="1" applyFont="1" applyFill="1" applyBorder="1" applyAlignment="1">
      <alignment horizontal="center"/>
    </xf>
    <xf numFmtId="0" fontId="39" fillId="0" borderId="0" xfId="0" applyFont="1" applyAlignment="1">
      <alignment horizontal="left"/>
    </xf>
    <xf numFmtId="0" fontId="4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7C7C7C"/>
      <rgbColor rgb="FF9999FF"/>
      <rgbColor rgb="FF993366"/>
      <rgbColor rgb="FFFFFFCC"/>
      <rgbColor rgb="FFCCFFFF"/>
      <rgbColor rgb="FF660066"/>
      <rgbColor rgb="FFFF8080"/>
      <rgbColor rgb="FF0066CC"/>
      <rgbColor rgb="FFD0CECE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9D9D9"/>
      <rgbColor rgb="FFFFFF99"/>
      <rgbColor rgb="FFBFBFB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5F6368"/>
      <rgbColor rgb="FF969696"/>
      <rgbColor rgb="FF003366"/>
      <rgbColor rgb="FF339966"/>
      <rgbColor rgb="FF003300"/>
      <rgbColor rgb="FF222222"/>
      <rgbColor rgb="FF993300"/>
      <rgbColor rgb="FF993366"/>
      <rgbColor rgb="FF59595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57240</xdr:rowOff>
    </xdr:from>
    <xdr:to>
      <xdr:col>0</xdr:col>
      <xdr:colOff>4142520</xdr:colOff>
      <xdr:row>25</xdr:row>
      <xdr:rowOff>109440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2381400"/>
          <a:ext cx="4142520" cy="31003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8640</xdr:colOff>
      <xdr:row>1</xdr:row>
      <xdr:rowOff>8640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0733400" y="190440"/>
          <a:ext cx="8640" cy="8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8640</xdr:colOff>
      <xdr:row>1</xdr:row>
      <xdr:rowOff>8640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0733400" y="190440"/>
          <a:ext cx="8640" cy="8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8640</xdr:colOff>
      <xdr:row>7</xdr:row>
      <xdr:rowOff>8640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1333440"/>
          <a:ext cx="8640" cy="8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133200</xdr:colOff>
      <xdr:row>3</xdr:row>
      <xdr:rowOff>114480</xdr:rowOff>
    </xdr:from>
    <xdr:to>
      <xdr:col>11</xdr:col>
      <xdr:colOff>84960</xdr:colOff>
      <xdr:row>41</xdr:row>
      <xdr:rowOff>142200</xdr:rowOff>
    </xdr:to>
    <xdr:pic>
      <xdr:nvPicPr>
        <xdr:cNvPr id="4" name="Bildobjekt 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3200" y="790920"/>
          <a:ext cx="6727320" cy="726660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</a:majorFont>
      <a:minorFont>
        <a:latin typeface="Calibri" panose="020F0502020204030204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lumMod val="110000"/>
                <a:tint val="67000"/>
              </a:schemeClr>
            </a:gs>
            <a:gs pos="50000">
              <a:schemeClr val="phClr">
                <a:lumMod val="105000"/>
                <a:tint val="73000"/>
              </a:schemeClr>
            </a:gs>
            <a:gs pos="100000">
              <a:schemeClr val="phClr">
                <a:lumMod val="105000"/>
                <a:tint val="81000"/>
              </a:schemeClr>
            </a:gs>
          </a:gsLst>
          <a:lin ang="5400000" scaled="0"/>
          <a:tileRect/>
        </a:gradFill>
        <a:gradFill>
          <a:gsLst>
            <a:gs pos="0">
              <a:schemeClr val="phClr">
                <a:lumMod val="102000"/>
                <a:tint val="94000"/>
              </a:schemeClr>
            </a:gs>
            <a:gs pos="50000">
              <a:schemeClr val="phClr">
                <a:lumMod val="100000"/>
                <a:shade val="100000"/>
              </a:schemeClr>
            </a:gs>
            <a:gs pos="100000">
              <a:schemeClr val="phClr">
                <a:lumMod val="99000"/>
                <a:shade val="78000"/>
              </a:schemeClr>
            </a:gs>
          </a:gsLst>
          <a:lin ang="5400000" scaled="0"/>
          <a:tileRect/>
        </a:gradFill>
      </a:fillStyleLst>
      <a:lnStyleLst>
        <a:ln w="6350" cap="flat" cmpd="sng" algn="ctr">
          <a:prstDash val="solid"/>
          <a:miter lim="800000"/>
        </a:ln>
        <a:ln w="12700" cap="flat" cmpd="sng" algn="ctr">
          <a:prstDash val="solid"/>
          <a:miter lim="800000"/>
        </a:ln>
        <a:ln w="19050" cap="flat" cmpd="sng" algn="ctr"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>
            <a:tint val="95000"/>
          </a:schemeClr>
        </a:solidFill>
        <a:gradFill>
          <a:gsLst>
            <a:gs pos="0">
              <a:schemeClr val="phClr">
                <a:tint val="93000"/>
                <a:shade val="98000"/>
                <a:lumMod val="102000"/>
              </a:schemeClr>
            </a:gs>
            <a:gs pos="50000">
              <a:schemeClr val="phClr">
                <a:tint val="98000"/>
                <a:shade val="90000"/>
                <a:lumMod val="103000"/>
              </a:schemeClr>
            </a:gs>
            <a:gs pos="100000">
              <a:schemeClr val="phClr">
                <a:shade val="63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160"/>
  <sheetViews>
    <sheetView tabSelected="1" zoomScale="84" zoomScaleNormal="84" workbookViewId="0">
      <pane ySplit="6" topLeftCell="A10" activePane="bottomLeft" state="frozen"/>
      <selection activeCell="D1" sqref="D1"/>
      <selection pane="bottomLeft" activeCell="B16" sqref="B16"/>
    </sheetView>
  </sheetViews>
  <sheetFormatPr defaultColWidth="8.7109375" defaultRowHeight="15" x14ac:dyDescent="0.25"/>
  <cols>
    <col min="1" max="1" width="6.85546875" style="1" customWidth="1"/>
    <col min="2" max="2" width="63.5703125" customWidth="1"/>
    <col min="4" max="4" width="16.28515625" customWidth="1"/>
    <col min="5" max="5" width="12.140625" style="2" customWidth="1"/>
    <col min="6" max="6" width="12.28515625" style="2" customWidth="1"/>
    <col min="7" max="7" width="11.140625" style="2" customWidth="1"/>
    <col min="8" max="8" width="10" style="2" bestFit="1" customWidth="1"/>
    <col min="9" max="9" width="9" style="2" bestFit="1" customWidth="1"/>
    <col min="10" max="10" width="10" style="2" bestFit="1" customWidth="1"/>
    <col min="11" max="11" width="12.42578125" style="2" customWidth="1"/>
    <col min="12" max="12" width="11.85546875" style="2" customWidth="1"/>
    <col min="13" max="13" width="13" style="2" customWidth="1"/>
    <col min="14" max="14" width="10.28515625" style="2" customWidth="1"/>
    <col min="15" max="15" width="12.28515625" style="2" customWidth="1"/>
    <col min="16" max="16" width="33.28515625" customWidth="1"/>
  </cols>
  <sheetData>
    <row r="1" spans="1:15" ht="18.75" x14ac:dyDescent="0.3">
      <c r="A1" s="3" t="s">
        <v>0</v>
      </c>
    </row>
    <row r="2" spans="1:15" x14ac:dyDescent="0.25">
      <c r="C2" s="4"/>
      <c r="D2" s="4"/>
      <c r="E2" s="5"/>
    </row>
    <row r="3" spans="1:15" x14ac:dyDescent="0.25">
      <c r="B3" t="s">
        <v>1</v>
      </c>
      <c r="D3" s="4"/>
      <c r="E3" s="5"/>
    </row>
    <row r="4" spans="1:15" x14ac:dyDescent="0.25">
      <c r="B4" s="6">
        <v>45673</v>
      </c>
      <c r="C4" s="180" t="s">
        <v>2</v>
      </c>
      <c r="D4" s="180"/>
      <c r="E4" s="7">
        <v>0.05</v>
      </c>
      <c r="F4" s="8">
        <v>1.05</v>
      </c>
      <c r="G4" s="8">
        <v>1.05</v>
      </c>
      <c r="H4" s="176">
        <v>1.05</v>
      </c>
      <c r="I4" s="176">
        <v>1.03</v>
      </c>
      <c r="J4" s="176">
        <v>1.03</v>
      </c>
      <c r="K4" s="176">
        <v>1.03</v>
      </c>
      <c r="L4" s="176">
        <v>1.03</v>
      </c>
      <c r="M4" s="176">
        <v>1.03</v>
      </c>
    </row>
    <row r="5" spans="1:15" x14ac:dyDescent="0.25">
      <c r="B5" s="9" t="s">
        <v>3</v>
      </c>
    </row>
    <row r="6" spans="1:15" s="10" customFormat="1" ht="30" x14ac:dyDescent="0.25">
      <c r="C6" s="11" t="s">
        <v>4</v>
      </c>
      <c r="D6" s="12" t="s">
        <v>5</v>
      </c>
      <c r="E6" s="13" t="s">
        <v>6</v>
      </c>
      <c r="F6" s="14">
        <v>2025</v>
      </c>
      <c r="G6" s="14">
        <v>2026</v>
      </c>
      <c r="H6" s="14">
        <v>2027</v>
      </c>
      <c r="I6" s="14">
        <v>2028</v>
      </c>
      <c r="J6" s="15">
        <v>2029</v>
      </c>
      <c r="K6" s="16" t="s">
        <v>408</v>
      </c>
      <c r="L6" s="16" t="s">
        <v>409</v>
      </c>
      <c r="M6" s="17" t="s">
        <v>410</v>
      </c>
      <c r="N6" s="16" t="s">
        <v>7</v>
      </c>
      <c r="O6" s="18" t="s">
        <v>8</v>
      </c>
    </row>
    <row r="7" spans="1:15" x14ac:dyDescent="0.25">
      <c r="A7" s="19" t="s">
        <v>9</v>
      </c>
      <c r="B7" s="20"/>
      <c r="C7" s="21"/>
      <c r="D7" s="21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</row>
    <row r="8" spans="1:15" x14ac:dyDescent="0.25">
      <c r="A8" s="23" t="s">
        <v>10</v>
      </c>
      <c r="B8" t="s">
        <v>11</v>
      </c>
      <c r="C8" s="23">
        <v>25</v>
      </c>
      <c r="D8" s="23">
        <v>2016</v>
      </c>
      <c r="E8" s="2">
        <v>780000</v>
      </c>
      <c r="M8" s="2">
        <v>1200000</v>
      </c>
    </row>
    <row r="9" spans="1:15" x14ac:dyDescent="0.25">
      <c r="A9" s="23" t="s">
        <v>12</v>
      </c>
      <c r="B9" t="s">
        <v>13</v>
      </c>
      <c r="C9" s="23">
        <v>20</v>
      </c>
      <c r="D9" s="23" t="s">
        <v>14</v>
      </c>
      <c r="E9" s="24" t="s">
        <v>14</v>
      </c>
      <c r="L9" s="2">
        <v>70000</v>
      </c>
    </row>
    <row r="10" spans="1:15" x14ac:dyDescent="0.25">
      <c r="A10" s="25" t="s">
        <v>15</v>
      </c>
      <c r="C10" s="23"/>
      <c r="D10" s="23"/>
      <c r="E10" s="24"/>
      <c r="F10" s="48">
        <f t="shared" ref="F10:M10" si="0">SUM(F8:F9)</f>
        <v>0</v>
      </c>
      <c r="G10" s="48">
        <f t="shared" si="0"/>
        <v>0</v>
      </c>
      <c r="H10" s="48">
        <f t="shared" si="0"/>
        <v>0</v>
      </c>
      <c r="I10" s="48">
        <f t="shared" si="0"/>
        <v>0</v>
      </c>
      <c r="J10" s="48">
        <f t="shared" si="0"/>
        <v>0</v>
      </c>
      <c r="K10" s="48">
        <f t="shared" si="0"/>
        <v>0</v>
      </c>
      <c r="L10" s="48">
        <f t="shared" si="0"/>
        <v>70000</v>
      </c>
      <c r="M10" s="48">
        <f t="shared" si="0"/>
        <v>1200000</v>
      </c>
      <c r="N10" s="48"/>
    </row>
    <row r="11" spans="1:15" x14ac:dyDescent="0.25">
      <c r="A11" s="19" t="s">
        <v>16</v>
      </c>
      <c r="B11" s="20"/>
      <c r="C11" s="21"/>
      <c r="D11" s="21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</row>
    <row r="12" spans="1:15" x14ac:dyDescent="0.25">
      <c r="A12" s="23" t="s">
        <v>17</v>
      </c>
      <c r="B12" t="s">
        <v>18</v>
      </c>
      <c r="C12" s="23">
        <v>20</v>
      </c>
      <c r="D12" s="23">
        <v>2018</v>
      </c>
      <c r="E12" s="2">
        <v>1673000</v>
      </c>
      <c r="L12" s="26" t="s">
        <v>19</v>
      </c>
    </row>
    <row r="13" spans="1:15" x14ac:dyDescent="0.25">
      <c r="A13" s="23" t="s">
        <v>20</v>
      </c>
      <c r="B13" t="s">
        <v>21</v>
      </c>
      <c r="C13" s="23">
        <v>25</v>
      </c>
      <c r="D13" s="23">
        <v>2024</v>
      </c>
      <c r="E13" s="2">
        <v>46000</v>
      </c>
      <c r="N13" s="27"/>
    </row>
    <row r="14" spans="1:15" x14ac:dyDescent="0.25">
      <c r="A14" s="23" t="s">
        <v>22</v>
      </c>
      <c r="B14" t="s">
        <v>23</v>
      </c>
      <c r="C14" s="23">
        <v>20</v>
      </c>
      <c r="D14" s="23">
        <v>2018</v>
      </c>
      <c r="L14" s="2">
        <v>55000</v>
      </c>
    </row>
    <row r="15" spans="1:15" x14ac:dyDescent="0.25">
      <c r="A15" s="23" t="s">
        <v>24</v>
      </c>
      <c r="B15" t="s">
        <v>25</v>
      </c>
      <c r="C15" s="23">
        <v>50</v>
      </c>
      <c r="D15" s="23">
        <v>2018</v>
      </c>
    </row>
    <row r="16" spans="1:15" x14ac:dyDescent="0.25">
      <c r="A16" s="23" t="s">
        <v>26</v>
      </c>
      <c r="B16" t="s">
        <v>474</v>
      </c>
      <c r="C16" s="23">
        <v>1</v>
      </c>
      <c r="D16" s="23">
        <v>2025</v>
      </c>
      <c r="F16" s="2">
        <v>20400</v>
      </c>
      <c r="G16" s="2">
        <f>F16*G4</f>
        <v>21420</v>
      </c>
      <c r="H16" s="2">
        <f>G16*H4</f>
        <v>22491</v>
      </c>
      <c r="I16" s="2">
        <f>H16*I4</f>
        <v>23165.73</v>
      </c>
      <c r="J16" s="2">
        <f>I16*J4</f>
        <v>23860.7019</v>
      </c>
      <c r="K16" s="2">
        <f>J16*5</f>
        <v>119303.5095</v>
      </c>
      <c r="L16" s="2">
        <f>K16*L4</f>
        <v>122882.614785</v>
      </c>
      <c r="M16" s="2">
        <f>L16*M4</f>
        <v>126569.09322855</v>
      </c>
    </row>
    <row r="17" spans="1:15" x14ac:dyDescent="0.25">
      <c r="A17" s="23" t="s">
        <v>449</v>
      </c>
      <c r="B17" t="s">
        <v>450</v>
      </c>
      <c r="C17" s="23">
        <v>1</v>
      </c>
      <c r="D17" s="23">
        <v>2024</v>
      </c>
      <c r="E17" s="2">
        <v>4400</v>
      </c>
      <c r="F17" s="2">
        <f>E17*F4</f>
        <v>4620</v>
      </c>
      <c r="G17" s="2">
        <f>F17*G4</f>
        <v>4851</v>
      </c>
      <c r="H17" s="2">
        <f>G17*H4</f>
        <v>5093.55</v>
      </c>
      <c r="I17" s="2">
        <f t="shared" ref="I17:J17" si="1">H17*I4</f>
        <v>5246.3564999999999</v>
      </c>
      <c r="J17" s="2">
        <f t="shared" si="1"/>
        <v>5403.7471949999999</v>
      </c>
      <c r="K17" s="2">
        <f>J17*5</f>
        <v>27018.735975</v>
      </c>
      <c r="L17" s="2">
        <f>K17*L4</f>
        <v>27829.298054250001</v>
      </c>
      <c r="M17" s="2">
        <f>L17*M4</f>
        <v>28664.1769958775</v>
      </c>
    </row>
    <row r="18" spans="1:15" x14ac:dyDescent="0.25">
      <c r="A18" s="179" t="s">
        <v>27</v>
      </c>
      <c r="C18" s="23"/>
      <c r="D18" s="23"/>
      <c r="F18" s="2">
        <f>SUM(F16:F17)</f>
        <v>25020</v>
      </c>
      <c r="G18" s="2">
        <f t="shared" ref="G18:J18" si="2">SUM(G16:G17)</f>
        <v>26271</v>
      </c>
      <c r="H18" s="2">
        <f t="shared" si="2"/>
        <v>27584.55</v>
      </c>
      <c r="I18" s="2">
        <f t="shared" si="2"/>
        <v>28412.086499999998</v>
      </c>
      <c r="J18" s="2">
        <f t="shared" si="2"/>
        <v>29264.449095</v>
      </c>
      <c r="K18" s="2">
        <f>J18*5</f>
        <v>146322.245475</v>
      </c>
      <c r="L18" s="2">
        <f>SUM(L16:L17)</f>
        <v>150711.91283925</v>
      </c>
      <c r="M18" s="2">
        <f>SUM(M16:M17)</f>
        <v>155233.27022442751</v>
      </c>
    </row>
    <row r="19" spans="1:15" x14ac:dyDescent="0.25">
      <c r="A19" s="19" t="s">
        <v>414</v>
      </c>
      <c r="B19" s="20"/>
      <c r="C19" s="21"/>
      <c r="D19" s="21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</row>
    <row r="20" spans="1:15" x14ac:dyDescent="0.25">
      <c r="A20" s="175" t="s">
        <v>28</v>
      </c>
      <c r="B20" t="s">
        <v>448</v>
      </c>
      <c r="C20" s="23">
        <v>1</v>
      </c>
      <c r="D20" s="23">
        <v>2024</v>
      </c>
      <c r="E20" s="2">
        <v>3400</v>
      </c>
      <c r="F20" s="2">
        <f>E20*F4</f>
        <v>3570</v>
      </c>
      <c r="G20" s="2">
        <f>F20*G4</f>
        <v>3748.5</v>
      </c>
      <c r="H20" s="2">
        <f>G20*H4</f>
        <v>3935.9250000000002</v>
      </c>
      <c r="I20" s="2">
        <f>H20*I4</f>
        <v>4054.0027500000001</v>
      </c>
      <c r="J20" s="2">
        <f>I20*J4</f>
        <v>4175.6228325000002</v>
      </c>
      <c r="K20" s="2">
        <f>J20*K4*5</f>
        <v>21504.457587375</v>
      </c>
      <c r="L20" s="2">
        <f>K20*L4*5</f>
        <v>110747.95657498125</v>
      </c>
      <c r="M20" s="2">
        <f>L20*M4</f>
        <v>114070.39527223069</v>
      </c>
    </row>
    <row r="21" spans="1:15" x14ac:dyDescent="0.25">
      <c r="B21" s="35" t="s">
        <v>115</v>
      </c>
      <c r="C21" s="23">
        <v>2021</v>
      </c>
      <c r="D21" s="2">
        <v>52000</v>
      </c>
    </row>
    <row r="22" spans="1:15" x14ac:dyDescent="0.25">
      <c r="A22" s="25" t="s">
        <v>471</v>
      </c>
      <c r="D22" s="23"/>
      <c r="F22" s="48">
        <f>SUM(F20:F21)</f>
        <v>3570</v>
      </c>
      <c r="G22" s="48">
        <f>SUM(G20:G21)</f>
        <v>3748.5</v>
      </c>
      <c r="H22" s="48">
        <f t="shared" ref="H22:J22" si="3">SUM(H20:H21)</f>
        <v>3935.9250000000002</v>
      </c>
      <c r="I22" s="48">
        <f t="shared" si="3"/>
        <v>4054.0027500000001</v>
      </c>
      <c r="J22" s="48">
        <f t="shared" si="3"/>
        <v>4175.6228325000002</v>
      </c>
      <c r="K22" s="48"/>
      <c r="L22" s="48"/>
      <c r="M22" s="48"/>
    </row>
    <row r="23" spans="1:15" x14ac:dyDescent="0.25">
      <c r="A23" s="19" t="s">
        <v>415</v>
      </c>
      <c r="B23" s="20"/>
      <c r="C23" s="21"/>
      <c r="D23" s="21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</row>
    <row r="24" spans="1:15" x14ac:dyDescent="0.25">
      <c r="A24" s="23" t="s">
        <v>32</v>
      </c>
      <c r="B24" t="s">
        <v>29</v>
      </c>
      <c r="C24" s="23">
        <v>60</v>
      </c>
      <c r="D24" s="23">
        <v>2020</v>
      </c>
      <c r="E24" s="2">
        <v>717000</v>
      </c>
    </row>
    <row r="25" spans="1:15" x14ac:dyDescent="0.25">
      <c r="A25" s="23" t="s">
        <v>34</v>
      </c>
      <c r="B25" t="s">
        <v>30</v>
      </c>
      <c r="C25" s="23">
        <v>60</v>
      </c>
      <c r="D25" s="23">
        <v>2018</v>
      </c>
      <c r="E25" s="2">
        <v>318000</v>
      </c>
    </row>
    <row r="26" spans="1:15" x14ac:dyDescent="0.25">
      <c r="A26" s="25" t="s">
        <v>31</v>
      </c>
      <c r="C26" s="23"/>
      <c r="D26" s="23"/>
      <c r="E26" s="2">
        <f t="shared" ref="E26:M26" si="4">SUM(E24:E25)</f>
        <v>1035000</v>
      </c>
      <c r="F26" s="48">
        <f t="shared" si="4"/>
        <v>0</v>
      </c>
      <c r="G26" s="48">
        <f t="shared" si="4"/>
        <v>0</v>
      </c>
      <c r="H26" s="48">
        <f t="shared" si="4"/>
        <v>0</v>
      </c>
      <c r="I26" s="48">
        <f t="shared" si="4"/>
        <v>0</v>
      </c>
      <c r="J26" s="48">
        <f t="shared" si="4"/>
        <v>0</v>
      </c>
      <c r="K26" s="48">
        <f t="shared" si="4"/>
        <v>0</v>
      </c>
      <c r="L26" s="48">
        <f t="shared" si="4"/>
        <v>0</v>
      </c>
      <c r="M26" s="48">
        <f t="shared" si="4"/>
        <v>0</v>
      </c>
      <c r="N26" s="48"/>
    </row>
    <row r="27" spans="1:15" x14ac:dyDescent="0.25">
      <c r="A27" s="19" t="s">
        <v>416</v>
      </c>
      <c r="B27" s="20"/>
      <c r="C27" s="20"/>
      <c r="D27" s="21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</row>
    <row r="28" spans="1:15" x14ac:dyDescent="0.25">
      <c r="A28" s="23" t="s">
        <v>47</v>
      </c>
      <c r="B28" t="s">
        <v>33</v>
      </c>
      <c r="C28" s="23">
        <v>40</v>
      </c>
      <c r="D28" s="23">
        <v>2023</v>
      </c>
      <c r="E28" s="28">
        <v>165000</v>
      </c>
      <c r="O28" s="29"/>
    </row>
    <row r="29" spans="1:15" x14ac:dyDescent="0.25">
      <c r="A29" s="23" t="s">
        <v>49</v>
      </c>
      <c r="B29" t="s">
        <v>35</v>
      </c>
      <c r="C29" s="23">
        <v>40</v>
      </c>
      <c r="D29" s="23">
        <v>2024</v>
      </c>
      <c r="E29" s="2">
        <v>105250</v>
      </c>
      <c r="F29" s="2">
        <v>105250</v>
      </c>
    </row>
    <row r="30" spans="1:15" x14ac:dyDescent="0.25">
      <c r="A30" s="23" t="s">
        <v>52</v>
      </c>
      <c r="B30" t="s">
        <v>36</v>
      </c>
      <c r="C30" s="23">
        <v>15</v>
      </c>
      <c r="D30" s="23">
        <v>2023</v>
      </c>
      <c r="E30" s="2">
        <v>34000</v>
      </c>
      <c r="L30" s="2">
        <f>E30*1.1</f>
        <v>37400</v>
      </c>
    </row>
    <row r="31" spans="1:15" x14ac:dyDescent="0.25">
      <c r="A31" s="23" t="s">
        <v>54</v>
      </c>
      <c r="B31" t="s">
        <v>37</v>
      </c>
      <c r="C31" s="23">
        <v>15</v>
      </c>
      <c r="D31" s="23">
        <v>2017</v>
      </c>
      <c r="E31" s="2">
        <v>5000</v>
      </c>
      <c r="K31" s="2">
        <f>E31*1.2</f>
        <v>6000</v>
      </c>
    </row>
    <row r="32" spans="1:15" x14ac:dyDescent="0.25">
      <c r="A32" s="23" t="s">
        <v>420</v>
      </c>
      <c r="B32" t="s">
        <v>38</v>
      </c>
      <c r="C32" s="23">
        <v>25</v>
      </c>
      <c r="D32" s="23" t="s">
        <v>14</v>
      </c>
      <c r="E32" s="2">
        <v>8500</v>
      </c>
    </row>
    <row r="33" spans="1:16" x14ac:dyDescent="0.25">
      <c r="A33" s="23" t="s">
        <v>421</v>
      </c>
      <c r="B33" t="s">
        <v>39</v>
      </c>
    </row>
    <row r="34" spans="1:16" x14ac:dyDescent="0.25">
      <c r="A34" s="23" t="s">
        <v>422</v>
      </c>
      <c r="B34" t="s">
        <v>40</v>
      </c>
      <c r="C34" s="23">
        <v>15</v>
      </c>
      <c r="D34" s="23">
        <v>2021</v>
      </c>
      <c r="E34" s="2">
        <v>4500</v>
      </c>
      <c r="G34" s="30"/>
      <c r="J34" s="2">
        <v>5200</v>
      </c>
    </row>
    <row r="35" spans="1:16" x14ac:dyDescent="0.25">
      <c r="A35" s="23" t="s">
        <v>423</v>
      </c>
      <c r="B35" t="s">
        <v>41</v>
      </c>
      <c r="C35" s="23">
        <v>15</v>
      </c>
      <c r="D35" s="23">
        <v>2015</v>
      </c>
      <c r="E35" s="2">
        <v>22000</v>
      </c>
      <c r="J35" s="2">
        <v>26000</v>
      </c>
      <c r="L35" s="2">
        <v>33000</v>
      </c>
    </row>
    <row r="36" spans="1:16" x14ac:dyDescent="0.25">
      <c r="A36" s="23" t="s">
        <v>424</v>
      </c>
      <c r="B36" t="s">
        <v>42</v>
      </c>
      <c r="C36" s="23">
        <v>1</v>
      </c>
      <c r="D36" s="23">
        <v>2021</v>
      </c>
      <c r="E36" s="30">
        <f>4100</f>
        <v>4100</v>
      </c>
      <c r="F36" s="2">
        <v>4520</v>
      </c>
      <c r="G36" s="2">
        <f>F36*G4</f>
        <v>4746</v>
      </c>
      <c r="H36" s="2">
        <f>G36*H4</f>
        <v>4983.3</v>
      </c>
      <c r="I36" s="2">
        <f>H36*I4</f>
        <v>5132.799</v>
      </c>
      <c r="J36" s="2">
        <f>I36*J4*5</f>
        <v>26433.914850000001</v>
      </c>
      <c r="K36" s="2">
        <f>J36*K4</f>
        <v>27226.932295500003</v>
      </c>
      <c r="L36" s="2">
        <f>K36*L4</f>
        <v>28043.740264365002</v>
      </c>
    </row>
    <row r="37" spans="1:16" x14ac:dyDescent="0.25">
      <c r="A37" s="23" t="s">
        <v>425</v>
      </c>
      <c r="B37" t="s">
        <v>43</v>
      </c>
      <c r="C37" s="23">
        <v>10</v>
      </c>
      <c r="D37" s="23">
        <v>2015</v>
      </c>
      <c r="E37" s="2">
        <v>25000</v>
      </c>
      <c r="F37" s="5"/>
      <c r="L37" s="2">
        <v>41000</v>
      </c>
    </row>
    <row r="38" spans="1:16" x14ac:dyDescent="0.25">
      <c r="A38" s="23" t="s">
        <v>426</v>
      </c>
      <c r="B38" t="s">
        <v>44</v>
      </c>
      <c r="C38" s="23"/>
      <c r="D38" s="23"/>
      <c r="E38" s="2">
        <v>300000</v>
      </c>
      <c r="O38" s="27">
        <v>300000</v>
      </c>
      <c r="P38" t="s">
        <v>45</v>
      </c>
    </row>
    <row r="39" spans="1:16" x14ac:dyDescent="0.25">
      <c r="A39" s="25" t="s">
        <v>46</v>
      </c>
      <c r="C39" s="23"/>
      <c r="D39" s="23"/>
      <c r="F39" s="48">
        <f t="shared" ref="F39:M39" si="5">SUM(F28:F38)</f>
        <v>109770</v>
      </c>
      <c r="G39" s="48">
        <f t="shared" si="5"/>
        <v>4746</v>
      </c>
      <c r="H39" s="48">
        <f t="shared" si="5"/>
        <v>4983.3</v>
      </c>
      <c r="I39" s="48">
        <f t="shared" si="5"/>
        <v>5132.799</v>
      </c>
      <c r="J39" s="48">
        <f t="shared" si="5"/>
        <v>57633.914850000001</v>
      </c>
      <c r="K39" s="48">
        <f t="shared" si="5"/>
        <v>33226.932295500003</v>
      </c>
      <c r="L39" s="48">
        <f t="shared" si="5"/>
        <v>139443.74026436498</v>
      </c>
      <c r="M39" s="48">
        <f t="shared" si="5"/>
        <v>0</v>
      </c>
      <c r="N39" s="48"/>
    </row>
    <row r="40" spans="1:16" x14ac:dyDescent="0.25">
      <c r="A40" s="19" t="s">
        <v>417</v>
      </c>
      <c r="B40" s="20"/>
      <c r="C40" s="21"/>
      <c r="D40" s="21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</row>
    <row r="41" spans="1:16" x14ac:dyDescent="0.25">
      <c r="A41" s="23" t="s">
        <v>56</v>
      </c>
      <c r="B41" t="s">
        <v>48</v>
      </c>
      <c r="C41" s="23">
        <v>35</v>
      </c>
      <c r="D41" s="23">
        <v>2005</v>
      </c>
      <c r="L41" s="2">
        <v>2800000</v>
      </c>
    </row>
    <row r="42" spans="1:16" x14ac:dyDescent="0.25">
      <c r="A42" s="23" t="s">
        <v>59</v>
      </c>
      <c r="B42" t="s">
        <v>50</v>
      </c>
      <c r="C42" s="23">
        <v>20</v>
      </c>
      <c r="D42" s="23" t="s">
        <v>51</v>
      </c>
      <c r="E42" s="2">
        <v>1018000</v>
      </c>
      <c r="K42" s="2">
        <v>1317000</v>
      </c>
    </row>
    <row r="43" spans="1:16" x14ac:dyDescent="0.25">
      <c r="A43" s="23" t="s">
        <v>61</v>
      </c>
      <c r="B43" t="s">
        <v>53</v>
      </c>
      <c r="C43" s="23">
        <v>40</v>
      </c>
    </row>
    <row r="44" spans="1:16" x14ac:dyDescent="0.25">
      <c r="A44" s="23" t="s">
        <v>63</v>
      </c>
      <c r="B44" s="4"/>
      <c r="C44" s="23"/>
      <c r="D44" s="23"/>
      <c r="E44" s="5"/>
    </row>
    <row r="45" spans="1:16" x14ac:dyDescent="0.25">
      <c r="A45" s="25" t="s">
        <v>55</v>
      </c>
      <c r="C45" s="23"/>
      <c r="D45" s="23"/>
      <c r="F45" s="48">
        <f t="shared" ref="F45:K45" si="6">SUM(F41:F44)</f>
        <v>0</v>
      </c>
      <c r="G45" s="48">
        <f t="shared" si="6"/>
        <v>0</v>
      </c>
      <c r="H45" s="48">
        <f t="shared" si="6"/>
        <v>0</v>
      </c>
      <c r="I45" s="48">
        <f t="shared" si="6"/>
        <v>0</v>
      </c>
      <c r="J45" s="48">
        <f t="shared" si="6"/>
        <v>0</v>
      </c>
      <c r="K45" s="48">
        <f t="shared" si="6"/>
        <v>1317000</v>
      </c>
      <c r="L45" s="48">
        <f>SUM(L41:L43)</f>
        <v>2800000</v>
      </c>
      <c r="M45" s="48">
        <f>SUM(M41:M43)</f>
        <v>0</v>
      </c>
      <c r="N45" s="48"/>
    </row>
    <row r="46" spans="1:16" x14ac:dyDescent="0.25">
      <c r="A46" s="19" t="s">
        <v>418</v>
      </c>
      <c r="B46" s="20"/>
      <c r="C46" s="21"/>
      <c r="D46" s="21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</row>
    <row r="47" spans="1:16" x14ac:dyDescent="0.25">
      <c r="A47" s="31" t="s">
        <v>67</v>
      </c>
      <c r="B47" t="s">
        <v>57</v>
      </c>
      <c r="C47" s="23" t="s">
        <v>58</v>
      </c>
      <c r="D47" s="23">
        <v>2002</v>
      </c>
      <c r="F47" s="5"/>
      <c r="G47" s="5"/>
      <c r="H47" s="5"/>
      <c r="I47" s="5"/>
      <c r="K47" s="5">
        <v>307000</v>
      </c>
      <c r="L47" s="5"/>
      <c r="M47" s="5"/>
      <c r="N47" s="5"/>
      <c r="O47" s="5"/>
    </row>
    <row r="48" spans="1:16" x14ac:dyDescent="0.25">
      <c r="A48" s="31" t="s">
        <v>69</v>
      </c>
      <c r="B48" t="s">
        <v>60</v>
      </c>
      <c r="C48" s="23">
        <v>20</v>
      </c>
      <c r="D48" s="23">
        <v>2014</v>
      </c>
      <c r="E48" s="2">
        <v>7800</v>
      </c>
      <c r="F48" s="5"/>
      <c r="G48" s="5"/>
      <c r="H48" s="5"/>
      <c r="I48" s="5"/>
      <c r="J48" s="5"/>
      <c r="K48" s="5">
        <v>11590</v>
      </c>
      <c r="L48" s="5"/>
      <c r="M48" s="5"/>
      <c r="N48" s="5"/>
      <c r="O48" s="5"/>
    </row>
    <row r="49" spans="1:15" x14ac:dyDescent="0.25">
      <c r="A49" s="31" t="s">
        <v>71</v>
      </c>
      <c r="B49" s="4" t="s">
        <v>62</v>
      </c>
      <c r="C49" s="23">
        <v>50</v>
      </c>
      <c r="D49" s="23">
        <v>2002</v>
      </c>
      <c r="F49" s="5"/>
      <c r="G49" s="5"/>
      <c r="H49" s="5"/>
      <c r="I49" s="5"/>
      <c r="J49" s="5"/>
      <c r="K49" s="5"/>
      <c r="L49" s="5"/>
      <c r="M49" s="5"/>
      <c r="N49" s="5"/>
      <c r="O49" s="5"/>
    </row>
    <row r="50" spans="1:15" x14ac:dyDescent="0.25">
      <c r="A50" s="31" t="s">
        <v>73</v>
      </c>
      <c r="B50" s="4" t="s">
        <v>64</v>
      </c>
      <c r="C50" s="31">
        <v>10</v>
      </c>
      <c r="D50" s="23">
        <v>1995</v>
      </c>
      <c r="F50" s="5"/>
      <c r="G50" s="5"/>
      <c r="H50" s="5">
        <v>20000</v>
      </c>
      <c r="K50" s="5"/>
      <c r="L50" s="5"/>
      <c r="M50" s="5"/>
      <c r="N50" s="5"/>
      <c r="O50" s="5"/>
    </row>
    <row r="51" spans="1:15" x14ac:dyDescent="0.25">
      <c r="A51" s="31" t="s">
        <v>75</v>
      </c>
      <c r="B51" t="s">
        <v>65</v>
      </c>
      <c r="C51" s="23">
        <v>20</v>
      </c>
      <c r="D51" s="23">
        <v>2019</v>
      </c>
      <c r="E51" s="2">
        <v>35000</v>
      </c>
      <c r="L51" s="5">
        <v>52000</v>
      </c>
    </row>
    <row r="52" spans="1:15" x14ac:dyDescent="0.25">
      <c r="A52" s="25" t="s">
        <v>66</v>
      </c>
      <c r="C52" s="23"/>
      <c r="D52" s="23"/>
      <c r="F52" s="48">
        <f t="shared" ref="F52:M52" si="7">SUM(F47:F51)</f>
        <v>0</v>
      </c>
      <c r="G52" s="48">
        <f t="shared" si="7"/>
        <v>0</v>
      </c>
      <c r="H52" s="48">
        <f t="shared" si="7"/>
        <v>20000</v>
      </c>
      <c r="I52" s="48">
        <f t="shared" si="7"/>
        <v>0</v>
      </c>
      <c r="J52" s="48">
        <f t="shared" si="7"/>
        <v>0</v>
      </c>
      <c r="K52" s="48">
        <f>SUM(K47:K51)</f>
        <v>318590</v>
      </c>
      <c r="L52" s="48">
        <f t="shared" si="7"/>
        <v>52000</v>
      </c>
      <c r="M52" s="48">
        <f t="shared" si="7"/>
        <v>0</v>
      </c>
      <c r="N52" s="48"/>
    </row>
    <row r="53" spans="1:15" x14ac:dyDescent="0.25">
      <c r="A53" s="19" t="s">
        <v>419</v>
      </c>
      <c r="B53" s="20"/>
      <c r="C53" s="20"/>
      <c r="D53" s="21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</row>
    <row r="54" spans="1:15" x14ac:dyDescent="0.25">
      <c r="A54" s="23" t="s">
        <v>81</v>
      </c>
      <c r="B54" t="s">
        <v>68</v>
      </c>
      <c r="C54" s="23">
        <v>2</v>
      </c>
      <c r="D54" s="23">
        <v>2022</v>
      </c>
      <c r="E54" s="2">
        <v>2000</v>
      </c>
      <c r="F54" s="32">
        <f>E54*F4</f>
        <v>2100</v>
      </c>
      <c r="G54" s="5">
        <f>F54*G4</f>
        <v>2205</v>
      </c>
      <c r="H54" s="32">
        <f>G54*H4</f>
        <v>2315.25</v>
      </c>
      <c r="I54" s="5">
        <f>H54*I4</f>
        <v>2384.7075</v>
      </c>
      <c r="J54" s="5">
        <f>3*I54*J4</f>
        <v>7368.7461749999993</v>
      </c>
      <c r="K54" s="5">
        <f>J54*K4</f>
        <v>7589.8085602499996</v>
      </c>
      <c r="L54" s="5">
        <f>K54*L4</f>
        <v>7817.5028170574997</v>
      </c>
    </row>
    <row r="55" spans="1:15" x14ac:dyDescent="0.25">
      <c r="A55" s="23" t="s">
        <v>83</v>
      </c>
      <c r="B55" s="4" t="s">
        <v>70</v>
      </c>
      <c r="C55" s="23">
        <v>1</v>
      </c>
      <c r="D55" s="23">
        <v>2022</v>
      </c>
      <c r="E55" s="2">
        <v>15115</v>
      </c>
      <c r="F55" s="2">
        <v>17000</v>
      </c>
      <c r="G55" s="2">
        <f>F55*G4</f>
        <v>17850</v>
      </c>
      <c r="H55" s="2">
        <f>G55*H4</f>
        <v>18742.5</v>
      </c>
      <c r="I55" s="2">
        <f>H55*I4</f>
        <v>19304.775000000001</v>
      </c>
      <c r="J55" s="2">
        <f>I55*J4</f>
        <v>19883.918250000002</v>
      </c>
      <c r="K55" s="2">
        <f>J55*K4*5</f>
        <v>102402.17898750001</v>
      </c>
      <c r="L55" s="2">
        <f>K55*L4</f>
        <v>105474.24435712502</v>
      </c>
    </row>
    <row r="56" spans="1:15" x14ac:dyDescent="0.25">
      <c r="A56" s="23" t="s">
        <v>85</v>
      </c>
      <c r="B56" s="4" t="s">
        <v>72</v>
      </c>
      <c r="C56" s="23">
        <v>8</v>
      </c>
      <c r="D56" s="23">
        <v>2020</v>
      </c>
      <c r="E56" s="2">
        <v>3000</v>
      </c>
      <c r="J56" s="2">
        <v>3500</v>
      </c>
      <c r="L56" s="2">
        <v>4200</v>
      </c>
    </row>
    <row r="57" spans="1:15" x14ac:dyDescent="0.25">
      <c r="A57" s="23" t="s">
        <v>88</v>
      </c>
      <c r="B57" s="4" t="s">
        <v>74</v>
      </c>
      <c r="C57" s="23">
        <v>20</v>
      </c>
      <c r="D57" s="23">
        <v>2024</v>
      </c>
      <c r="E57" s="2">
        <v>10740</v>
      </c>
      <c r="M57" s="2">
        <v>25000</v>
      </c>
    </row>
    <row r="58" spans="1:15" x14ac:dyDescent="0.25">
      <c r="A58" s="23" t="s">
        <v>427</v>
      </c>
      <c r="B58" s="4" t="s">
        <v>76</v>
      </c>
      <c r="C58" s="23">
        <v>50</v>
      </c>
      <c r="D58" s="23">
        <v>2021</v>
      </c>
      <c r="E58" s="2">
        <v>15000</v>
      </c>
    </row>
    <row r="59" spans="1:15" x14ac:dyDescent="0.25">
      <c r="A59" s="23" t="s">
        <v>428</v>
      </c>
      <c r="B59" t="s">
        <v>77</v>
      </c>
      <c r="C59" s="23">
        <v>5</v>
      </c>
      <c r="D59" s="23">
        <v>2021</v>
      </c>
    </row>
    <row r="60" spans="1:15" x14ac:dyDescent="0.25">
      <c r="A60" s="23" t="s">
        <v>429</v>
      </c>
      <c r="B60" t="s">
        <v>78</v>
      </c>
      <c r="C60" s="23">
        <v>30</v>
      </c>
      <c r="D60" s="23">
        <v>2017</v>
      </c>
      <c r="E60" s="2">
        <v>26000</v>
      </c>
    </row>
    <row r="61" spans="1:15" x14ac:dyDescent="0.25">
      <c r="A61" s="23" t="s">
        <v>430</v>
      </c>
      <c r="B61" t="s">
        <v>79</v>
      </c>
      <c r="C61" s="23">
        <v>20</v>
      </c>
      <c r="D61" s="23">
        <v>2017</v>
      </c>
      <c r="L61" s="2">
        <v>5000</v>
      </c>
    </row>
    <row r="62" spans="1:15" x14ac:dyDescent="0.25">
      <c r="A62" s="25" t="s">
        <v>80</v>
      </c>
      <c r="C62" s="23"/>
      <c r="D62" s="23"/>
      <c r="F62" s="33">
        <f>SUM(F55:F61)</f>
        <v>17000</v>
      </c>
      <c r="G62" s="48">
        <f>SUM(G54:G61)</f>
        <v>20055</v>
      </c>
      <c r="H62" s="48">
        <f>SUM(H55:H61)</f>
        <v>18742.5</v>
      </c>
      <c r="I62" s="34">
        <f>SUM(I54:I61)</f>
        <v>21689.482500000002</v>
      </c>
      <c r="J62" s="48">
        <f>SUM(J54:J61)</f>
        <v>30752.664425000003</v>
      </c>
      <c r="K62" s="48">
        <f>SUM(K54:K61)</f>
        <v>109991.98754775</v>
      </c>
      <c r="L62" s="48">
        <f>SUM(L54:L61)</f>
        <v>122491.74717418251</v>
      </c>
      <c r="M62" s="48">
        <f>SUM(M54:M61)</f>
        <v>25000</v>
      </c>
      <c r="N62" s="48"/>
    </row>
    <row r="63" spans="1:15" x14ac:dyDescent="0.25">
      <c r="A63" s="19" t="s">
        <v>435</v>
      </c>
      <c r="B63" s="20"/>
      <c r="C63" s="21"/>
      <c r="D63" s="21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</row>
    <row r="64" spans="1:15" x14ac:dyDescent="0.25">
      <c r="A64" s="23" t="s">
        <v>431</v>
      </c>
      <c r="B64" t="s">
        <v>82</v>
      </c>
      <c r="C64" s="23">
        <v>25</v>
      </c>
      <c r="D64" s="23">
        <v>2021</v>
      </c>
      <c r="E64" s="28">
        <v>51000</v>
      </c>
      <c r="M64" s="2">
        <v>84000</v>
      </c>
    </row>
    <row r="65" spans="1:23" x14ac:dyDescent="0.25">
      <c r="A65" s="23" t="s">
        <v>432</v>
      </c>
      <c r="B65" s="4" t="s">
        <v>84</v>
      </c>
      <c r="C65" s="23">
        <v>25</v>
      </c>
      <c r="D65" s="23">
        <v>2015</v>
      </c>
      <c r="E65" s="5">
        <v>388500</v>
      </c>
      <c r="M65" s="2">
        <v>590000</v>
      </c>
    </row>
    <row r="66" spans="1:23" x14ac:dyDescent="0.25">
      <c r="A66" s="23" t="s">
        <v>433</v>
      </c>
      <c r="B66" t="s">
        <v>86</v>
      </c>
      <c r="C66" s="23">
        <v>10</v>
      </c>
      <c r="D66" s="23">
        <v>2015</v>
      </c>
      <c r="E66" s="5"/>
      <c r="I66" s="2">
        <v>31000</v>
      </c>
      <c r="P66" t="s">
        <v>87</v>
      </c>
    </row>
    <row r="67" spans="1:23" x14ac:dyDescent="0.25">
      <c r="A67" s="23" t="s">
        <v>434</v>
      </c>
      <c r="B67" t="s">
        <v>89</v>
      </c>
      <c r="C67" s="23"/>
      <c r="D67" s="23"/>
      <c r="O67" s="27">
        <v>2500</v>
      </c>
      <c r="P67" t="s">
        <v>87</v>
      </c>
    </row>
    <row r="68" spans="1:23" x14ac:dyDescent="0.25">
      <c r="A68" s="25" t="s">
        <v>90</v>
      </c>
      <c r="F68" s="48">
        <f t="shared" ref="F68:M68" si="8">SUM(F64:F67)</f>
        <v>0</v>
      </c>
      <c r="G68" s="48">
        <f t="shared" si="8"/>
        <v>0</v>
      </c>
      <c r="H68" s="48">
        <f t="shared" si="8"/>
        <v>0</v>
      </c>
      <c r="I68" s="48">
        <f t="shared" si="8"/>
        <v>31000</v>
      </c>
      <c r="J68" s="48">
        <f t="shared" si="8"/>
        <v>0</v>
      </c>
      <c r="K68" s="48">
        <f t="shared" si="8"/>
        <v>0</v>
      </c>
      <c r="L68" s="48">
        <f t="shared" si="8"/>
        <v>0</v>
      </c>
      <c r="M68" s="48">
        <f t="shared" si="8"/>
        <v>674000</v>
      </c>
      <c r="N68" s="48"/>
    </row>
    <row r="69" spans="1:23" x14ac:dyDescent="0.25">
      <c r="A69" s="19" t="s">
        <v>436</v>
      </c>
      <c r="B69" s="20"/>
      <c r="C69" s="21"/>
      <c r="D69" s="21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</row>
    <row r="70" spans="1:23" x14ac:dyDescent="0.25">
      <c r="A70" s="31" t="s">
        <v>91</v>
      </c>
      <c r="B70" s="4" t="s">
        <v>92</v>
      </c>
      <c r="C70" s="31">
        <v>15</v>
      </c>
      <c r="D70" s="31">
        <v>2021</v>
      </c>
      <c r="E70" s="5">
        <v>46000</v>
      </c>
      <c r="F70" s="5"/>
      <c r="G70" s="5"/>
      <c r="H70" s="5"/>
      <c r="I70" s="5"/>
      <c r="J70" s="5"/>
      <c r="L70" s="5">
        <f>E70*1.1</f>
        <v>50600.000000000007</v>
      </c>
      <c r="M70" s="5"/>
      <c r="N70" s="5"/>
      <c r="O70" s="5"/>
      <c r="P70" s="4"/>
      <c r="R70" s="2"/>
      <c r="S70" s="2"/>
      <c r="T70" s="2"/>
      <c r="U70" s="2"/>
    </row>
    <row r="71" spans="1:23" x14ac:dyDescent="0.25">
      <c r="A71" s="31" t="s">
        <v>93</v>
      </c>
      <c r="B71" s="35" t="s">
        <v>94</v>
      </c>
      <c r="C71" s="23">
        <v>15</v>
      </c>
      <c r="D71" s="23">
        <v>2019</v>
      </c>
      <c r="E71" s="2">
        <v>9000</v>
      </c>
      <c r="K71" s="5">
        <v>15200</v>
      </c>
    </row>
    <row r="72" spans="1:23" x14ac:dyDescent="0.25">
      <c r="A72" s="31" t="s">
        <v>95</v>
      </c>
      <c r="B72" s="4" t="s">
        <v>96</v>
      </c>
      <c r="C72" s="23">
        <v>10</v>
      </c>
      <c r="D72" s="23"/>
      <c r="R72" s="2"/>
      <c r="S72" s="2"/>
      <c r="T72" s="2"/>
      <c r="U72" s="2"/>
      <c r="V72" s="2"/>
      <c r="W72" s="2"/>
    </row>
    <row r="73" spans="1:23" x14ac:dyDescent="0.25">
      <c r="A73" s="31" t="s">
        <v>97</v>
      </c>
      <c r="B73" s="4"/>
    </row>
    <row r="74" spans="1:23" x14ac:dyDescent="0.25">
      <c r="A74" s="31" t="s">
        <v>98</v>
      </c>
      <c r="B74" t="s">
        <v>99</v>
      </c>
      <c r="C74" s="23">
        <v>40</v>
      </c>
      <c r="D74" s="23">
        <v>2020</v>
      </c>
      <c r="E74" s="5">
        <f>15000*0.8</f>
        <v>12000</v>
      </c>
      <c r="M74" s="2">
        <f>33000*0.8</f>
        <v>26400</v>
      </c>
    </row>
    <row r="75" spans="1:23" x14ac:dyDescent="0.25">
      <c r="A75" s="31" t="s">
        <v>100</v>
      </c>
      <c r="B75" t="s">
        <v>101</v>
      </c>
      <c r="C75" s="23"/>
      <c r="D75" s="23"/>
      <c r="O75" s="27">
        <f>13000*0.8</f>
        <v>10400</v>
      </c>
      <c r="P75" t="s">
        <v>102</v>
      </c>
    </row>
    <row r="76" spans="1:23" x14ac:dyDescent="0.25">
      <c r="A76" s="25" t="s">
        <v>103</v>
      </c>
      <c r="C76" s="23"/>
      <c r="D76" s="23"/>
      <c r="F76" s="48">
        <f t="shared" ref="F76:M76" si="9">SUM(F70:F75)</f>
        <v>0</v>
      </c>
      <c r="G76" s="48">
        <f t="shared" si="9"/>
        <v>0</v>
      </c>
      <c r="H76" s="48">
        <f t="shared" si="9"/>
        <v>0</v>
      </c>
      <c r="I76" s="48">
        <f t="shared" si="9"/>
        <v>0</v>
      </c>
      <c r="J76" s="48">
        <f t="shared" si="9"/>
        <v>0</v>
      </c>
      <c r="K76" s="48">
        <f t="shared" si="9"/>
        <v>15200</v>
      </c>
      <c r="L76" s="48">
        <f t="shared" si="9"/>
        <v>50600.000000000007</v>
      </c>
      <c r="M76" s="48">
        <f t="shared" si="9"/>
        <v>26400</v>
      </c>
      <c r="N76" s="48"/>
      <c r="O76" s="48"/>
    </row>
    <row r="77" spans="1:23" x14ac:dyDescent="0.25">
      <c r="A77" s="19" t="s">
        <v>437</v>
      </c>
      <c r="B77" s="20"/>
      <c r="C77" s="21"/>
      <c r="D77" s="20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</row>
    <row r="78" spans="1:23" x14ac:dyDescent="0.25">
      <c r="A78" s="23" t="s">
        <v>104</v>
      </c>
      <c r="B78" t="s">
        <v>105</v>
      </c>
      <c r="C78" s="23" t="s">
        <v>106</v>
      </c>
      <c r="D78" s="23">
        <v>1990</v>
      </c>
      <c r="M78" s="2">
        <v>1100000</v>
      </c>
    </row>
    <row r="79" spans="1:23" x14ac:dyDescent="0.25">
      <c r="A79" s="23" t="s">
        <v>107</v>
      </c>
      <c r="B79" t="s">
        <v>108</v>
      </c>
      <c r="C79" s="23">
        <v>35</v>
      </c>
      <c r="D79" s="23" t="s">
        <v>109</v>
      </c>
    </row>
    <row r="80" spans="1:23" x14ac:dyDescent="0.25">
      <c r="A80" s="23" t="s">
        <v>110</v>
      </c>
      <c r="B80" t="s">
        <v>111</v>
      </c>
      <c r="C80" s="23">
        <v>15</v>
      </c>
      <c r="D80" s="23">
        <v>2021</v>
      </c>
      <c r="E80" s="2">
        <f>72000*0.8</f>
        <v>57600</v>
      </c>
      <c r="F80" s="36"/>
      <c r="G80" s="36"/>
      <c r="H80" s="36"/>
      <c r="I80" s="36"/>
      <c r="J80" s="36"/>
      <c r="K80" s="36"/>
      <c r="L80" s="36">
        <f>97000*0.8</f>
        <v>77600</v>
      </c>
    </row>
    <row r="81" spans="1:15" x14ac:dyDescent="0.25">
      <c r="A81" s="23" t="s">
        <v>112</v>
      </c>
      <c r="B81" t="s">
        <v>113</v>
      </c>
      <c r="C81" s="23">
        <v>50</v>
      </c>
      <c r="D81" s="23">
        <v>2016</v>
      </c>
      <c r="E81" s="2">
        <f>175000*0.8</f>
        <v>140000</v>
      </c>
      <c r="M81" s="2">
        <f>471000*0.8</f>
        <v>376800</v>
      </c>
    </row>
    <row r="82" spans="1:15" x14ac:dyDescent="0.25">
      <c r="A82" s="23" t="s">
        <v>114</v>
      </c>
      <c r="B82" s="35" t="s">
        <v>115</v>
      </c>
      <c r="C82" s="23">
        <v>35</v>
      </c>
      <c r="D82" s="23">
        <v>2021</v>
      </c>
      <c r="E82" s="2">
        <v>52000</v>
      </c>
    </row>
    <row r="83" spans="1:15" x14ac:dyDescent="0.25">
      <c r="A83" s="23" t="s">
        <v>116</v>
      </c>
      <c r="B83" s="35" t="s">
        <v>473</v>
      </c>
      <c r="C83" s="23">
        <v>35</v>
      </c>
      <c r="D83" s="23">
        <v>2022</v>
      </c>
      <c r="E83" s="2">
        <v>2545</v>
      </c>
      <c r="F83" s="2">
        <v>2545</v>
      </c>
      <c r="G83" s="2">
        <f>F83*G4</f>
        <v>2672.25</v>
      </c>
      <c r="H83" s="2">
        <f>G83*H4</f>
        <v>2805.8625000000002</v>
      </c>
      <c r="I83" s="2">
        <f>H83*I4</f>
        <v>2890.0383750000001</v>
      </c>
      <c r="J83" s="2">
        <f>I83*J4*5</f>
        <v>14883.697631250001</v>
      </c>
      <c r="K83" s="2">
        <f>J83*K4</f>
        <v>15330.208560187501</v>
      </c>
      <c r="L83" s="2">
        <f>K83*L4</f>
        <v>15790.114816993126</v>
      </c>
    </row>
    <row r="84" spans="1:15" x14ac:dyDescent="0.25">
      <c r="A84" s="23" t="s">
        <v>117</v>
      </c>
      <c r="B84" s="4" t="s">
        <v>118</v>
      </c>
      <c r="C84" s="23">
        <v>40</v>
      </c>
      <c r="D84" s="23">
        <v>2019</v>
      </c>
      <c r="E84" s="2">
        <v>66000</v>
      </c>
    </row>
    <row r="85" spans="1:15" x14ac:dyDescent="0.25">
      <c r="A85" s="23" t="s">
        <v>119</v>
      </c>
      <c r="B85" t="s">
        <v>120</v>
      </c>
      <c r="C85" s="23">
        <v>40</v>
      </c>
      <c r="D85" s="23">
        <v>2015</v>
      </c>
      <c r="E85" s="2">
        <f>37500*0.8</f>
        <v>30000</v>
      </c>
      <c r="F85" s="36"/>
      <c r="G85" s="36"/>
      <c r="H85" s="36"/>
      <c r="I85" s="36"/>
      <c r="J85" s="36"/>
      <c r="K85" s="36"/>
      <c r="L85" s="36"/>
      <c r="M85" s="2">
        <f>73500*0.8</f>
        <v>58800</v>
      </c>
    </row>
    <row r="86" spans="1:15" x14ac:dyDescent="0.25">
      <c r="A86" s="23" t="s">
        <v>121</v>
      </c>
      <c r="B86" t="s">
        <v>122</v>
      </c>
      <c r="C86" s="23">
        <v>35</v>
      </c>
      <c r="D86" s="23">
        <v>2000</v>
      </c>
      <c r="E86" s="24" t="s">
        <v>14</v>
      </c>
    </row>
    <row r="87" spans="1:15" x14ac:dyDescent="0.25">
      <c r="A87" s="23" t="s">
        <v>123</v>
      </c>
      <c r="B87" t="s">
        <v>124</v>
      </c>
      <c r="C87" s="23">
        <v>40</v>
      </c>
      <c r="D87" s="23" t="s">
        <v>14</v>
      </c>
      <c r="E87" s="24" t="s">
        <v>14</v>
      </c>
      <c r="J87" s="2">
        <f>50000*0.8</f>
        <v>40000</v>
      </c>
    </row>
    <row r="88" spans="1:15" x14ac:dyDescent="0.25">
      <c r="A88" s="23" t="s">
        <v>125</v>
      </c>
      <c r="B88" s="37" t="s">
        <v>126</v>
      </c>
      <c r="C88" s="23">
        <v>30</v>
      </c>
      <c r="D88" s="23">
        <v>2013</v>
      </c>
      <c r="E88" s="2">
        <f>17500*0.8</f>
        <v>14000</v>
      </c>
    </row>
    <row r="89" spans="1:15" x14ac:dyDescent="0.25">
      <c r="A89" s="23" t="s">
        <v>127</v>
      </c>
      <c r="B89" s="37" t="s">
        <v>128</v>
      </c>
      <c r="C89" s="23">
        <v>1</v>
      </c>
      <c r="D89" s="23">
        <v>2020</v>
      </c>
    </row>
    <row r="90" spans="1:15" x14ac:dyDescent="0.25">
      <c r="A90" s="23"/>
      <c r="B90" s="38"/>
      <c r="C90" s="23"/>
      <c r="D90" s="23"/>
    </row>
    <row r="91" spans="1:15" x14ac:dyDescent="0.25">
      <c r="A91" s="25" t="s">
        <v>129</v>
      </c>
      <c r="B91" s="38"/>
      <c r="C91" s="23"/>
      <c r="D91" s="23"/>
      <c r="F91" s="48">
        <f t="shared" ref="F91:M91" si="10">SUM(F78:F89)</f>
        <v>2545</v>
      </c>
      <c r="G91" s="48">
        <f t="shared" si="10"/>
        <v>2672.25</v>
      </c>
      <c r="H91" s="48">
        <f t="shared" si="10"/>
        <v>2805.8625000000002</v>
      </c>
      <c r="I91" s="48">
        <f t="shared" si="10"/>
        <v>2890.0383750000001</v>
      </c>
      <c r="J91" s="48">
        <f t="shared" si="10"/>
        <v>54883.697631250005</v>
      </c>
      <c r="K91" s="48">
        <f t="shared" si="10"/>
        <v>15330.208560187501</v>
      </c>
      <c r="L91" s="48">
        <f t="shared" si="10"/>
        <v>93390.114816993126</v>
      </c>
      <c r="M91" s="48">
        <f t="shared" si="10"/>
        <v>1535600</v>
      </c>
      <c r="N91" s="48"/>
    </row>
    <row r="92" spans="1:15" x14ac:dyDescent="0.25">
      <c r="A92" s="19" t="s">
        <v>438</v>
      </c>
      <c r="B92" s="20"/>
      <c r="C92" s="21"/>
      <c r="D92" s="21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</row>
    <row r="93" spans="1:15" x14ac:dyDescent="0.25">
      <c r="A93" s="23" t="s">
        <v>130</v>
      </c>
      <c r="B93" t="s">
        <v>131</v>
      </c>
      <c r="C93" s="23">
        <v>25</v>
      </c>
      <c r="D93" s="23">
        <v>2022</v>
      </c>
      <c r="E93" s="5">
        <v>271000</v>
      </c>
      <c r="M93" s="2">
        <f>E93*1.1</f>
        <v>298100</v>
      </c>
    </row>
    <row r="94" spans="1:15" x14ac:dyDescent="0.25">
      <c r="A94" s="23" t="s">
        <v>132</v>
      </c>
      <c r="B94" s="37" t="s">
        <v>133</v>
      </c>
      <c r="C94" s="23">
        <v>25</v>
      </c>
      <c r="D94" s="23">
        <v>2023</v>
      </c>
      <c r="E94" s="2">
        <v>210000</v>
      </c>
    </row>
    <row r="95" spans="1:15" x14ac:dyDescent="0.25">
      <c r="A95" s="23" t="s">
        <v>134</v>
      </c>
      <c r="B95" t="s">
        <v>43</v>
      </c>
      <c r="C95" s="23">
        <v>10</v>
      </c>
      <c r="D95" s="23">
        <v>2015</v>
      </c>
      <c r="E95" s="2">
        <f>32000*0.8</f>
        <v>25600</v>
      </c>
      <c r="H95" s="2">
        <v>30000</v>
      </c>
    </row>
    <row r="96" spans="1:15" x14ac:dyDescent="0.25">
      <c r="A96" s="23" t="s">
        <v>135</v>
      </c>
      <c r="B96" t="s">
        <v>136</v>
      </c>
      <c r="C96" s="23">
        <v>30</v>
      </c>
      <c r="D96" s="23">
        <v>2020</v>
      </c>
    </row>
    <row r="97" spans="1:16" x14ac:dyDescent="0.25">
      <c r="A97" s="23" t="s">
        <v>137</v>
      </c>
      <c r="B97" s="4" t="s">
        <v>138</v>
      </c>
      <c r="C97" s="23">
        <v>30</v>
      </c>
      <c r="D97" s="23" t="s">
        <v>139</v>
      </c>
    </row>
    <row r="98" spans="1:16" x14ac:dyDescent="0.25">
      <c r="A98" s="23" t="s">
        <v>140</v>
      </c>
      <c r="B98" s="4" t="s">
        <v>141</v>
      </c>
      <c r="C98" s="23"/>
      <c r="D98" s="23"/>
    </row>
    <row r="99" spans="1:16" x14ac:dyDescent="0.25">
      <c r="A99" s="25" t="s">
        <v>142</v>
      </c>
      <c r="B99" s="4"/>
      <c r="C99" s="23"/>
      <c r="D99" s="23"/>
      <c r="F99" s="48">
        <f t="shared" ref="F99:M99" si="11">SUM(F93:F97)</f>
        <v>0</v>
      </c>
      <c r="G99" s="48">
        <f t="shared" si="11"/>
        <v>0</v>
      </c>
      <c r="H99" s="48">
        <f t="shared" si="11"/>
        <v>30000</v>
      </c>
      <c r="I99" s="48">
        <f t="shared" si="11"/>
        <v>0</v>
      </c>
      <c r="J99" s="48">
        <f t="shared" si="11"/>
        <v>0</v>
      </c>
      <c r="K99" s="48">
        <f t="shared" si="11"/>
        <v>0</v>
      </c>
      <c r="L99" s="48">
        <f t="shared" si="11"/>
        <v>0</v>
      </c>
      <c r="M99" s="48">
        <f t="shared" si="11"/>
        <v>298100</v>
      </c>
      <c r="N99" s="48"/>
    </row>
    <row r="100" spans="1:16" x14ac:dyDescent="0.25">
      <c r="A100" s="19" t="s">
        <v>439</v>
      </c>
      <c r="B100" s="20"/>
      <c r="C100" s="21"/>
      <c r="D100" s="21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</row>
    <row r="101" spans="1:16" x14ac:dyDescent="0.25">
      <c r="A101" s="25" t="s">
        <v>143</v>
      </c>
      <c r="B101" s="2"/>
      <c r="C101" s="2"/>
      <c r="D101" s="2"/>
      <c r="P101" s="2"/>
    </row>
    <row r="102" spans="1:16" x14ac:dyDescent="0.25">
      <c r="A102" s="23" t="s">
        <v>144</v>
      </c>
      <c r="B102" t="s">
        <v>145</v>
      </c>
      <c r="C102" s="23">
        <v>15</v>
      </c>
      <c r="D102" s="23">
        <v>2021</v>
      </c>
      <c r="E102" s="2">
        <v>43795</v>
      </c>
      <c r="L102" s="2">
        <v>46000</v>
      </c>
      <c r="M102" s="24"/>
      <c r="N102" s="24"/>
      <c r="O102" s="29"/>
    </row>
    <row r="103" spans="1:16" x14ac:dyDescent="0.25">
      <c r="A103" s="23" t="s">
        <v>146</v>
      </c>
      <c r="B103" t="s">
        <v>147</v>
      </c>
      <c r="C103" s="23">
        <v>15</v>
      </c>
      <c r="D103" s="23">
        <v>2009</v>
      </c>
      <c r="J103" s="2">
        <f>49000*0.8</f>
        <v>39200</v>
      </c>
      <c r="P103" s="2"/>
    </row>
    <row r="104" spans="1:16" x14ac:dyDescent="0.25">
      <c r="A104" s="23" t="s">
        <v>148</v>
      </c>
      <c r="B104" t="s">
        <v>149</v>
      </c>
      <c r="C104" s="23">
        <v>15</v>
      </c>
      <c r="D104" s="23">
        <v>2009</v>
      </c>
      <c r="E104" s="2">
        <f>18000*0.8</f>
        <v>14400</v>
      </c>
      <c r="H104" s="2">
        <f>39000*0.8</f>
        <v>31200</v>
      </c>
      <c r="J104" s="24"/>
      <c r="K104" s="24"/>
      <c r="L104" s="24"/>
      <c r="M104" s="24"/>
      <c r="N104" s="24"/>
    </row>
    <row r="105" spans="1:16" x14ac:dyDescent="0.25">
      <c r="A105" s="23" t="s">
        <v>150</v>
      </c>
      <c r="B105" t="s">
        <v>151</v>
      </c>
      <c r="C105" s="23">
        <v>15</v>
      </c>
      <c r="D105" s="23">
        <v>2005</v>
      </c>
      <c r="E105" s="2">
        <f>15000*0.8</f>
        <v>12000</v>
      </c>
      <c r="H105" s="39"/>
      <c r="I105" s="5">
        <f>29000*0.8</f>
        <v>23200</v>
      </c>
      <c r="J105" s="24"/>
      <c r="K105" s="24"/>
      <c r="L105" s="24"/>
      <c r="M105" s="24"/>
      <c r="N105" s="24"/>
      <c r="O105" s="27">
        <f>25123</f>
        <v>25123</v>
      </c>
      <c r="P105" t="s">
        <v>152</v>
      </c>
    </row>
    <row r="106" spans="1:16" x14ac:dyDescent="0.25">
      <c r="A106" s="25" t="s">
        <v>153</v>
      </c>
      <c r="C106" s="23"/>
      <c r="D106" s="23"/>
      <c r="H106" s="39"/>
      <c r="I106" s="24"/>
      <c r="J106" s="24"/>
      <c r="K106" s="24"/>
      <c r="L106" s="24"/>
      <c r="M106" s="24"/>
      <c r="N106" s="24"/>
    </row>
    <row r="107" spans="1:16" x14ac:dyDescent="0.25">
      <c r="A107" s="23" t="s">
        <v>154</v>
      </c>
      <c r="B107" t="s">
        <v>155</v>
      </c>
      <c r="C107" s="23">
        <v>15</v>
      </c>
      <c r="D107" s="23">
        <v>2020</v>
      </c>
      <c r="E107" s="2">
        <f>41750*0.8</f>
        <v>33400</v>
      </c>
      <c r="K107" s="2">
        <f>54000*0.8</f>
        <v>43200</v>
      </c>
    </row>
    <row r="108" spans="1:16" x14ac:dyDescent="0.25">
      <c r="A108" s="23" t="s">
        <v>156</v>
      </c>
      <c r="B108" t="s">
        <v>157</v>
      </c>
      <c r="C108" s="23">
        <v>15</v>
      </c>
      <c r="D108" s="23">
        <v>2016</v>
      </c>
      <c r="E108" s="2">
        <f>24600*0.8</f>
        <v>19680</v>
      </c>
      <c r="I108" s="24"/>
      <c r="J108" s="24"/>
      <c r="K108" s="28">
        <f>24000*0.8</f>
        <v>19200</v>
      </c>
      <c r="L108" s="24"/>
      <c r="M108" s="24"/>
      <c r="N108" s="24"/>
    </row>
    <row r="109" spans="1:16" x14ac:dyDescent="0.25">
      <c r="A109" s="23" t="s">
        <v>158</v>
      </c>
      <c r="B109" t="s">
        <v>159</v>
      </c>
      <c r="C109" s="23">
        <v>25</v>
      </c>
      <c r="D109" s="23">
        <v>2003</v>
      </c>
    </row>
    <row r="110" spans="1:16" x14ac:dyDescent="0.25">
      <c r="A110" s="23" t="s">
        <v>160</v>
      </c>
      <c r="B110" t="s">
        <v>161</v>
      </c>
      <c r="C110" s="23"/>
      <c r="D110" s="23"/>
    </row>
    <row r="111" spans="1:16" x14ac:dyDescent="0.25">
      <c r="A111" s="23" t="s">
        <v>162</v>
      </c>
      <c r="B111" t="s">
        <v>163</v>
      </c>
      <c r="C111" s="23">
        <v>30</v>
      </c>
      <c r="D111" s="31">
        <v>2023</v>
      </c>
      <c r="E111" s="5">
        <v>110000</v>
      </c>
      <c r="F111" s="5"/>
      <c r="O111" s="27"/>
    </row>
    <row r="112" spans="1:16" x14ac:dyDescent="0.25">
      <c r="A112" s="25" t="s">
        <v>164</v>
      </c>
      <c r="C112" s="23"/>
      <c r="D112" s="23"/>
      <c r="F112" s="48">
        <f>SUM(F102:F111)</f>
        <v>0</v>
      </c>
      <c r="G112" s="48">
        <f t="shared" ref="G112:M112" si="12">SUM(G102:G110)</f>
        <v>0</v>
      </c>
      <c r="H112" s="48">
        <f t="shared" si="12"/>
        <v>31200</v>
      </c>
      <c r="I112" s="48">
        <f t="shared" si="12"/>
        <v>23200</v>
      </c>
      <c r="J112" s="48">
        <f t="shared" si="12"/>
        <v>39200</v>
      </c>
      <c r="K112" s="48">
        <f t="shared" si="12"/>
        <v>62400</v>
      </c>
      <c r="L112" s="48">
        <f t="shared" si="12"/>
        <v>46000</v>
      </c>
      <c r="M112" s="48">
        <f t="shared" si="12"/>
        <v>0</v>
      </c>
      <c r="N112" s="48"/>
    </row>
    <row r="113" spans="1:16" x14ac:dyDescent="0.25">
      <c r="A113" s="19" t="s">
        <v>440</v>
      </c>
      <c r="B113" s="20"/>
      <c r="C113" s="21"/>
      <c r="D113" s="21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</row>
    <row r="114" spans="1:16" x14ac:dyDescent="0.25">
      <c r="B114" t="s">
        <v>165</v>
      </c>
      <c r="C114" s="23">
        <v>70</v>
      </c>
      <c r="D114" s="23">
        <v>2001</v>
      </c>
    </row>
    <row r="115" spans="1:16" x14ac:dyDescent="0.25">
      <c r="A115" s="19" t="s">
        <v>441</v>
      </c>
      <c r="B115" s="20"/>
      <c r="C115" s="21"/>
      <c r="D115" s="21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</row>
    <row r="116" spans="1:16" x14ac:dyDescent="0.25">
      <c r="A116" s="23" t="s">
        <v>166</v>
      </c>
      <c r="B116" t="s">
        <v>167</v>
      </c>
      <c r="C116" s="23">
        <v>30</v>
      </c>
      <c r="D116" s="23">
        <v>1960</v>
      </c>
    </row>
    <row r="117" spans="1:16" x14ac:dyDescent="0.25">
      <c r="A117" s="23" t="s">
        <v>168</v>
      </c>
      <c r="B117" t="s">
        <v>169</v>
      </c>
      <c r="C117" s="23">
        <v>50</v>
      </c>
      <c r="D117" s="23">
        <v>1960</v>
      </c>
      <c r="E117" s="24" t="s">
        <v>14</v>
      </c>
    </row>
    <row r="118" spans="1:16" x14ac:dyDescent="0.25">
      <c r="A118" s="23" t="s">
        <v>170</v>
      </c>
      <c r="B118" t="s">
        <v>171</v>
      </c>
      <c r="C118" s="23">
        <v>50</v>
      </c>
      <c r="D118" s="23">
        <v>2022</v>
      </c>
      <c r="E118" s="28">
        <v>27000</v>
      </c>
    </row>
    <row r="119" spans="1:16" x14ac:dyDescent="0.25">
      <c r="A119" s="23" t="s">
        <v>172</v>
      </c>
      <c r="B119" t="s">
        <v>173</v>
      </c>
      <c r="C119" s="23">
        <v>5</v>
      </c>
      <c r="D119" s="23">
        <v>2020</v>
      </c>
      <c r="E119" s="2">
        <f>75000*0.8</f>
        <v>60000</v>
      </c>
      <c r="F119" s="40">
        <f t="shared" ref="F119:L119" si="13">E119*F4</f>
        <v>63000</v>
      </c>
      <c r="G119" s="40">
        <f t="shared" si="13"/>
        <v>66150</v>
      </c>
      <c r="H119" s="5">
        <f t="shared" si="13"/>
        <v>69457.5</v>
      </c>
      <c r="I119" s="40">
        <f t="shared" si="13"/>
        <v>71541.225000000006</v>
      </c>
      <c r="J119" s="2">
        <f t="shared" si="13"/>
        <v>73687.461750000002</v>
      </c>
      <c r="K119" s="2">
        <f t="shared" si="13"/>
        <v>75898.08560250001</v>
      </c>
      <c r="L119" s="2">
        <f t="shared" si="13"/>
        <v>78175.028170575009</v>
      </c>
    </row>
    <row r="120" spans="1:16" ht="29.25" customHeight="1" x14ac:dyDescent="0.25">
      <c r="A120" s="41" t="s">
        <v>174</v>
      </c>
      <c r="B120" s="42" t="s">
        <v>175</v>
      </c>
      <c r="C120" s="41">
        <v>50</v>
      </c>
      <c r="D120" s="41">
        <v>2005</v>
      </c>
      <c r="M120" s="43">
        <f>9900000*0.8</f>
        <v>7920000</v>
      </c>
      <c r="P120" s="44"/>
    </row>
    <row r="121" spans="1:16" s="4" customFormat="1" x14ac:dyDescent="0.25">
      <c r="A121" s="23" t="s">
        <v>176</v>
      </c>
      <c r="B121" s="4" t="s">
        <v>177</v>
      </c>
      <c r="C121" s="23">
        <v>50</v>
      </c>
      <c r="D121" s="23">
        <v>2005</v>
      </c>
      <c r="E121" s="24"/>
      <c r="F121" s="2"/>
      <c r="G121" s="2"/>
      <c r="H121" s="2"/>
      <c r="I121" s="2"/>
      <c r="J121" s="2"/>
      <c r="K121" s="2"/>
      <c r="L121" s="2"/>
      <c r="M121" s="2"/>
      <c r="N121" s="2"/>
      <c r="O121" s="2"/>
    </row>
    <row r="122" spans="1:16" s="4" customFormat="1" x14ac:dyDescent="0.25">
      <c r="A122" s="23" t="s">
        <v>178</v>
      </c>
      <c r="B122" s="4" t="s">
        <v>179</v>
      </c>
      <c r="C122" s="23">
        <v>15</v>
      </c>
      <c r="D122" s="23">
        <v>2023</v>
      </c>
      <c r="E122" s="2">
        <v>46000</v>
      </c>
      <c r="F122" s="2"/>
      <c r="G122" s="2"/>
      <c r="H122" s="2"/>
      <c r="I122" s="2"/>
      <c r="J122" s="2"/>
      <c r="K122" s="2">
        <v>53000</v>
      </c>
      <c r="L122" s="2"/>
      <c r="M122" s="2"/>
      <c r="N122" s="2"/>
      <c r="O122" s="2"/>
    </row>
    <row r="123" spans="1:16" x14ac:dyDescent="0.25">
      <c r="A123" s="23" t="s">
        <v>180</v>
      </c>
      <c r="B123" s="4" t="s">
        <v>181</v>
      </c>
      <c r="C123" s="23">
        <v>15</v>
      </c>
      <c r="D123" s="45">
        <v>2014</v>
      </c>
      <c r="E123" s="2">
        <f>6000*0.8</f>
        <v>4800</v>
      </c>
      <c r="J123" s="2">
        <v>6000</v>
      </c>
    </row>
    <row r="124" spans="1:16" x14ac:dyDescent="0.25">
      <c r="A124" s="23" t="s">
        <v>182</v>
      </c>
      <c r="B124" s="4" t="s">
        <v>183</v>
      </c>
    </row>
    <row r="125" spans="1:16" x14ac:dyDescent="0.25">
      <c r="A125" s="25" t="s">
        <v>184</v>
      </c>
      <c r="C125" s="23"/>
      <c r="D125" s="23"/>
      <c r="F125" s="48">
        <v>0</v>
      </c>
      <c r="G125" s="46">
        <f t="shared" ref="G125:M125" si="14">SUM(G116:G123)</f>
        <v>66150</v>
      </c>
      <c r="H125" s="48">
        <f t="shared" si="14"/>
        <v>69457.5</v>
      </c>
      <c r="I125" s="46">
        <f t="shared" si="14"/>
        <v>71541.225000000006</v>
      </c>
      <c r="J125" s="48">
        <f t="shared" si="14"/>
        <v>79687.461750000002</v>
      </c>
      <c r="K125" s="48">
        <f t="shared" si="14"/>
        <v>128898.08560250001</v>
      </c>
      <c r="L125" s="48">
        <f t="shared" si="14"/>
        <v>78175.028170575009</v>
      </c>
      <c r="M125" s="48">
        <f t="shared" si="14"/>
        <v>7920000</v>
      </c>
      <c r="N125" s="48"/>
    </row>
    <row r="126" spans="1:16" x14ac:dyDescent="0.25">
      <c r="A126" s="19" t="s">
        <v>442</v>
      </c>
      <c r="B126" s="20"/>
      <c r="C126" s="21"/>
      <c r="D126" s="21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</row>
    <row r="127" spans="1:16" x14ac:dyDescent="0.25">
      <c r="A127" s="23" t="s">
        <v>185</v>
      </c>
      <c r="B127" t="s">
        <v>186</v>
      </c>
      <c r="C127" s="23">
        <v>25</v>
      </c>
      <c r="D127" s="23">
        <v>2000</v>
      </c>
    </row>
    <row r="128" spans="1:16" x14ac:dyDescent="0.25">
      <c r="A128" s="23" t="s">
        <v>187</v>
      </c>
      <c r="B128" t="s">
        <v>188</v>
      </c>
      <c r="C128" s="23">
        <v>6</v>
      </c>
      <c r="D128" s="23" t="s">
        <v>189</v>
      </c>
      <c r="E128" s="2">
        <f>35000*0.8</f>
        <v>28000</v>
      </c>
      <c r="F128" s="5"/>
      <c r="K128" s="5">
        <f>47500*0.8</f>
        <v>38000</v>
      </c>
      <c r="L128" s="5">
        <f>52000*0.8</f>
        <v>41600</v>
      </c>
    </row>
    <row r="129" spans="1:15" x14ac:dyDescent="0.25">
      <c r="A129" s="23" t="s">
        <v>190</v>
      </c>
      <c r="B129" t="s">
        <v>191</v>
      </c>
      <c r="C129" s="23">
        <v>10</v>
      </c>
      <c r="D129" s="23">
        <v>2024</v>
      </c>
      <c r="E129" s="2">
        <v>136000</v>
      </c>
      <c r="J129" s="5">
        <f>E129*J4</f>
        <v>140080</v>
      </c>
      <c r="L129" s="2">
        <f>188000*0.8</f>
        <v>150400</v>
      </c>
    </row>
    <row r="130" spans="1:15" x14ac:dyDescent="0.25">
      <c r="A130" s="23" t="s">
        <v>192</v>
      </c>
      <c r="B130" t="s">
        <v>275</v>
      </c>
      <c r="C130" s="23">
        <v>20</v>
      </c>
      <c r="D130" s="23">
        <v>2019</v>
      </c>
      <c r="E130" s="2">
        <f>35000*0.8</f>
        <v>28000</v>
      </c>
      <c r="L130" s="2">
        <f>66000*0.8</f>
        <v>52800</v>
      </c>
    </row>
    <row r="131" spans="1:15" x14ac:dyDescent="0.25">
      <c r="A131" s="23" t="s">
        <v>412</v>
      </c>
      <c r="B131" t="s">
        <v>413</v>
      </c>
      <c r="C131" s="23"/>
      <c r="D131" s="23">
        <v>2024</v>
      </c>
      <c r="E131" s="2">
        <v>6250</v>
      </c>
    </row>
    <row r="132" spans="1:15" x14ac:dyDescent="0.25">
      <c r="A132" s="25" t="s">
        <v>193</v>
      </c>
      <c r="C132" s="23"/>
      <c r="D132" s="23"/>
      <c r="F132" s="48">
        <f t="shared" ref="F132:M132" si="15">SUM(F127:F130)</f>
        <v>0</v>
      </c>
      <c r="G132" s="48">
        <f t="shared" si="15"/>
        <v>0</v>
      </c>
      <c r="H132" s="48">
        <f t="shared" si="15"/>
        <v>0</v>
      </c>
      <c r="I132" s="48">
        <f t="shared" si="15"/>
        <v>0</v>
      </c>
      <c r="J132" s="48">
        <f t="shared" si="15"/>
        <v>140080</v>
      </c>
      <c r="K132" s="48">
        <f t="shared" si="15"/>
        <v>38000</v>
      </c>
      <c r="L132" s="48">
        <f t="shared" si="15"/>
        <v>244800</v>
      </c>
      <c r="M132" s="48">
        <f t="shared" si="15"/>
        <v>0</v>
      </c>
      <c r="N132" s="48"/>
    </row>
    <row r="133" spans="1:15" x14ac:dyDescent="0.25">
      <c r="A133" s="19" t="s">
        <v>443</v>
      </c>
      <c r="B133" s="20"/>
      <c r="C133" s="21"/>
      <c r="D133" s="21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</row>
    <row r="134" spans="1:15" x14ac:dyDescent="0.25">
      <c r="A134" s="23" t="s">
        <v>194</v>
      </c>
      <c r="B134" s="4" t="s">
        <v>195</v>
      </c>
      <c r="C134" s="23">
        <v>40</v>
      </c>
      <c r="D134" s="23"/>
    </row>
    <row r="135" spans="1:15" x14ac:dyDescent="0.25">
      <c r="A135" s="23" t="s">
        <v>196</v>
      </c>
      <c r="B135" s="4" t="s">
        <v>197</v>
      </c>
      <c r="C135" s="23">
        <v>40</v>
      </c>
      <c r="D135" s="23"/>
    </row>
    <row r="136" spans="1:15" x14ac:dyDescent="0.25">
      <c r="A136" s="23" t="s">
        <v>198</v>
      </c>
      <c r="B136" t="s">
        <v>199</v>
      </c>
      <c r="C136" s="23">
        <v>25</v>
      </c>
      <c r="D136" s="23"/>
    </row>
    <row r="137" spans="1:15" x14ac:dyDescent="0.25">
      <c r="A137" s="23" t="s">
        <v>200</v>
      </c>
      <c r="B137" t="s">
        <v>201</v>
      </c>
      <c r="C137" s="23">
        <v>20</v>
      </c>
      <c r="D137" s="23">
        <v>2021</v>
      </c>
      <c r="E137" s="2">
        <v>162500</v>
      </c>
      <c r="M137" s="2">
        <f>350000*0.8</f>
        <v>280000</v>
      </c>
    </row>
    <row r="138" spans="1:15" x14ac:dyDescent="0.25">
      <c r="A138" s="23" t="s">
        <v>202</v>
      </c>
      <c r="B138" t="s">
        <v>203</v>
      </c>
      <c r="C138" s="23">
        <v>25</v>
      </c>
      <c r="D138" s="23">
        <v>2022</v>
      </c>
      <c r="E138" s="2">
        <v>50000</v>
      </c>
      <c r="M138" s="2">
        <f>102000*0.8</f>
        <v>81600</v>
      </c>
    </row>
    <row r="139" spans="1:15" x14ac:dyDescent="0.25">
      <c r="A139" s="25" t="s">
        <v>204</v>
      </c>
      <c r="C139" s="23"/>
      <c r="D139" s="23"/>
      <c r="F139" s="48">
        <f t="shared" ref="F139:M139" si="16">SUM(F134:F138)</f>
        <v>0</v>
      </c>
      <c r="G139" s="48">
        <f t="shared" si="16"/>
        <v>0</v>
      </c>
      <c r="H139" s="48">
        <f t="shared" si="16"/>
        <v>0</v>
      </c>
      <c r="I139" s="48">
        <f t="shared" si="16"/>
        <v>0</v>
      </c>
      <c r="J139" s="48">
        <f t="shared" si="16"/>
        <v>0</v>
      </c>
      <c r="K139" s="48">
        <f t="shared" si="16"/>
        <v>0</v>
      </c>
      <c r="L139" s="48">
        <f t="shared" si="16"/>
        <v>0</v>
      </c>
      <c r="M139" s="48">
        <f t="shared" si="16"/>
        <v>361600</v>
      </c>
      <c r="N139" s="48"/>
    </row>
    <row r="140" spans="1:15" x14ac:dyDescent="0.25">
      <c r="A140" s="19" t="s">
        <v>444</v>
      </c>
      <c r="B140" s="20"/>
      <c r="C140" s="21"/>
      <c r="D140" s="21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</row>
    <row r="141" spans="1:15" x14ac:dyDescent="0.25">
      <c r="B141" t="s">
        <v>205</v>
      </c>
      <c r="C141" s="23">
        <v>30</v>
      </c>
      <c r="D141" s="23">
        <v>2017</v>
      </c>
      <c r="E141" s="2">
        <v>38000</v>
      </c>
    </row>
    <row r="142" spans="1:15" x14ac:dyDescent="0.25">
      <c r="B142" t="s">
        <v>468</v>
      </c>
      <c r="C142" s="23">
        <v>30</v>
      </c>
      <c r="D142" s="23"/>
      <c r="F142" s="5"/>
    </row>
    <row r="143" spans="1:15" x14ac:dyDescent="0.25">
      <c r="A143" s="25" t="s">
        <v>206</v>
      </c>
      <c r="C143" s="47"/>
      <c r="D143" s="47"/>
      <c r="E143" s="48"/>
      <c r="F143" s="48">
        <f>SUM(F141:F142)</f>
        <v>0</v>
      </c>
      <c r="G143" s="48"/>
      <c r="H143" s="48"/>
      <c r="I143" s="48"/>
      <c r="J143" s="48"/>
      <c r="K143" s="48"/>
      <c r="L143" s="48"/>
      <c r="M143" s="48"/>
      <c r="N143" s="48"/>
      <c r="O143" s="48"/>
    </row>
    <row r="144" spans="1:15" x14ac:dyDescent="0.25">
      <c r="A144" s="19" t="s">
        <v>445</v>
      </c>
      <c r="B144" s="20"/>
      <c r="C144" s="21"/>
      <c r="D144" s="21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</row>
    <row r="145" spans="1:15" x14ac:dyDescent="0.25">
      <c r="B145" t="s">
        <v>207</v>
      </c>
      <c r="D145" s="23">
        <v>2018</v>
      </c>
      <c r="E145" s="2">
        <f>6800*0.8</f>
        <v>5440</v>
      </c>
    </row>
    <row r="146" spans="1:15" x14ac:dyDescent="0.25">
      <c r="A146" s="19" t="s">
        <v>446</v>
      </c>
      <c r="B146" s="20"/>
      <c r="C146" s="21"/>
      <c r="D146" s="21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</row>
    <row r="147" spans="1:15" x14ac:dyDescent="0.25">
      <c r="B147" t="s">
        <v>208</v>
      </c>
      <c r="C147" s="23">
        <v>1</v>
      </c>
      <c r="D147" s="23">
        <v>2024</v>
      </c>
      <c r="E147" s="2">
        <v>109500</v>
      </c>
    </row>
    <row r="148" spans="1:15" x14ac:dyDescent="0.25">
      <c r="B148" s="4" t="s">
        <v>209</v>
      </c>
      <c r="C148" s="23">
        <v>10</v>
      </c>
      <c r="D148" s="23">
        <v>2024</v>
      </c>
      <c r="E148" s="2">
        <v>7703</v>
      </c>
      <c r="J148" s="2">
        <f>E148*J4</f>
        <v>7934.09</v>
      </c>
      <c r="L148" s="2">
        <f>J148*1.1</f>
        <v>8727.4990000000016</v>
      </c>
    </row>
    <row r="149" spans="1:15" x14ac:dyDescent="0.25">
      <c r="B149" s="4" t="s">
        <v>411</v>
      </c>
      <c r="C149" s="23"/>
      <c r="D149" s="23">
        <v>2024</v>
      </c>
      <c r="E149" s="2">
        <v>7700</v>
      </c>
    </row>
    <row r="150" spans="1:15" x14ac:dyDescent="0.25">
      <c r="A150" s="25" t="s">
        <v>210</v>
      </c>
      <c r="E150" s="2">
        <f>SUM(E147:E149)</f>
        <v>124903</v>
      </c>
      <c r="F150" s="174">
        <f>SUM(F147:F148)</f>
        <v>0</v>
      </c>
      <c r="G150" s="40">
        <f>F150*G4</f>
        <v>0</v>
      </c>
      <c r="H150" s="40">
        <f>G150*H4</f>
        <v>0</v>
      </c>
      <c r="I150" s="40">
        <f>H150*I4</f>
        <v>0</v>
      </c>
    </row>
    <row r="151" spans="1:15" s="4" customFormat="1" x14ac:dyDescent="0.25">
      <c r="A151" s="19" t="s">
        <v>447</v>
      </c>
      <c r="B151" s="20"/>
      <c r="C151" s="21"/>
      <c r="D151" s="21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</row>
    <row r="152" spans="1:15" x14ac:dyDescent="0.25">
      <c r="A152" s="49"/>
      <c r="B152" t="s">
        <v>211</v>
      </c>
      <c r="C152" s="23">
        <v>10</v>
      </c>
      <c r="D152" s="23">
        <v>2020</v>
      </c>
      <c r="E152" s="2">
        <f>11500*0.8</f>
        <v>9200</v>
      </c>
      <c r="F152" s="36"/>
      <c r="G152" s="36"/>
      <c r="H152" s="36"/>
      <c r="I152" s="36"/>
      <c r="J152" s="2">
        <f>14000*0.8</f>
        <v>11200</v>
      </c>
      <c r="K152" s="36"/>
      <c r="L152" s="2">
        <f>17000*0.8</f>
        <v>13600</v>
      </c>
      <c r="M152" s="36"/>
      <c r="N152" s="36"/>
    </row>
    <row r="153" spans="1:15" x14ac:dyDescent="0.25">
      <c r="A153" s="49"/>
      <c r="C153" s="23"/>
    </row>
    <row r="154" spans="1:15" x14ac:dyDescent="0.25">
      <c r="A154" s="50" t="s">
        <v>212</v>
      </c>
      <c r="B154" s="51" t="s">
        <v>213</v>
      </c>
      <c r="C154" s="1" t="s">
        <v>214</v>
      </c>
      <c r="F154" s="48">
        <f>F10+F22+F26+F39+F45+F52+F62+F68+F76+F91+F99+F112+F125+F132+F139+F143+F145+F150+F152</f>
        <v>132885</v>
      </c>
      <c r="G154" s="48">
        <f>G91+G45+G10+G62+G99+G39+G112+G76+G68+G52+G22+G132+G125+G139+G142+G145+G152+G26</f>
        <v>97371.75</v>
      </c>
      <c r="H154" s="48">
        <f>H91+H45+H10+H62+H99+H39+H112+H76+H68+H52+H22+H132+H125+H139+H142+H145+H152+H26</f>
        <v>181125.08750000002</v>
      </c>
      <c r="I154" s="48">
        <f>I91+I45+I10+I62+I99+I39+I112+I76+I68+I52+I22+I132+I139+I142+I145+I152+I26</f>
        <v>87966.322625000001</v>
      </c>
      <c r="J154" s="48">
        <f>J91+J45+J10+J62+J99+J39+J112+J76+J68+J52+J22+J132+J125+J139+J142+J145+J148+J152+J26</f>
        <v>425547.45148875006</v>
      </c>
      <c r="K154" s="48">
        <f>K91+K45+K10+K62+K99+K39+K112+K76+K68+K52+K22+K132+K125+K139+K142+K145+K150+K152+K26</f>
        <v>2038637.2140059376</v>
      </c>
      <c r="L154" s="48">
        <f>L91+L45+L10+L62+L99+L39+L112+L76+L68+L52+L22+L132+L125+L139+L142+L145+L148+L152+L26</f>
        <v>3719228.1294261152</v>
      </c>
      <c r="M154" s="48">
        <f>M91+M45+M10+M62+M99+M39+M112+M76+M68+M52+M22+M132+M125+M139+M142+M145+M150+M152+M26</f>
        <v>12040700</v>
      </c>
      <c r="N154" s="48"/>
    </row>
    <row r="155" spans="1:15" x14ac:dyDescent="0.25">
      <c r="A155" s="50" t="s">
        <v>215</v>
      </c>
      <c r="B155" t="s">
        <v>216</v>
      </c>
    </row>
    <row r="156" spans="1:15" x14ac:dyDescent="0.25">
      <c r="A156" s="50" t="s">
        <v>217</v>
      </c>
      <c r="B156" t="s">
        <v>218</v>
      </c>
      <c r="K156" s="48" t="s">
        <v>219</v>
      </c>
      <c r="M156" s="52">
        <f>(F154+G154+H154+I154+J154+K154+L154)/19</f>
        <v>351724.26079188433</v>
      </c>
      <c r="N156" s="53" t="s">
        <v>220</v>
      </c>
    </row>
    <row r="157" spans="1:15" x14ac:dyDescent="0.25">
      <c r="A157" s="50" t="s">
        <v>221</v>
      </c>
      <c r="B157" t="s">
        <v>222</v>
      </c>
      <c r="K157" s="48" t="s">
        <v>223</v>
      </c>
      <c r="M157" s="52">
        <v>50</v>
      </c>
      <c r="N157" s="48" t="s">
        <v>224</v>
      </c>
    </row>
    <row r="158" spans="1:15" x14ac:dyDescent="0.25">
      <c r="A158" s="50"/>
      <c r="B158" s="54"/>
      <c r="K158" s="48" t="s">
        <v>225</v>
      </c>
      <c r="M158" s="52">
        <f>M156/M157</f>
        <v>7034.4852158376862</v>
      </c>
      <c r="N158" s="48" t="s">
        <v>220</v>
      </c>
    </row>
    <row r="159" spans="1:15" x14ac:dyDescent="0.25">
      <c r="A159" s="50"/>
      <c r="K159" s="48" t="s">
        <v>226</v>
      </c>
      <c r="M159" s="52">
        <v>2435</v>
      </c>
      <c r="N159" s="48" t="s">
        <v>227</v>
      </c>
    </row>
    <row r="160" spans="1:15" x14ac:dyDescent="0.25">
      <c r="A160" s="50"/>
      <c r="B160" s="54"/>
      <c r="K160" s="48" t="s">
        <v>228</v>
      </c>
      <c r="M160" s="52">
        <f>M156/M159</f>
        <v>144.44528163937755</v>
      </c>
      <c r="N160" s="48" t="s">
        <v>220</v>
      </c>
    </row>
  </sheetData>
  <mergeCells count="1">
    <mergeCell ref="C4:D4"/>
  </mergeCells>
  <pageMargins left="0.7" right="0.7" top="0.75" bottom="0.75" header="0.511811023622047" footer="0.511811023622047"/>
  <pageSetup paperSize="9" orientation="landscape" horizontalDpi="300" verticalDpi="300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76"/>
  <sheetViews>
    <sheetView zoomScale="124" zoomScaleNormal="124" workbookViewId="0">
      <pane ySplit="3" topLeftCell="A4" activePane="bottomLeft" state="frozen"/>
      <selection pane="bottomLeft" activeCell="A11" sqref="A11:XFD11"/>
    </sheetView>
  </sheetViews>
  <sheetFormatPr defaultColWidth="8.7109375" defaultRowHeight="15" x14ac:dyDescent="0.25"/>
  <cols>
    <col min="1" max="1" width="40.7109375" customWidth="1"/>
    <col min="2" max="2" width="6.85546875" customWidth="1"/>
    <col min="3" max="3" width="8" customWidth="1"/>
    <col min="4" max="4" width="7" customWidth="1"/>
    <col min="5" max="5" width="6.140625" customWidth="1"/>
    <col min="6" max="8" width="5.28515625" customWidth="1"/>
    <col min="9" max="9" width="6.28515625" style="52" customWidth="1"/>
    <col min="10" max="10" width="7.42578125" customWidth="1"/>
    <col min="11" max="11" width="6.42578125" customWidth="1"/>
    <col min="12" max="12" width="6.28515625" customWidth="1"/>
    <col min="13" max="13" width="6" customWidth="1"/>
    <col min="14" max="14" width="10.85546875" style="55" customWidth="1"/>
    <col min="15" max="15" width="101.5703125" customWidth="1"/>
  </cols>
  <sheetData>
    <row r="1" spans="1:15" ht="15.75" x14ac:dyDescent="0.25">
      <c r="A1" s="56" t="s">
        <v>407</v>
      </c>
      <c r="B1" s="57"/>
      <c r="C1" s="57"/>
      <c r="D1" s="57"/>
      <c r="E1" s="56"/>
      <c r="F1" s="58"/>
      <c r="G1" s="56"/>
      <c r="I1" s="59"/>
      <c r="J1" s="56"/>
      <c r="K1" s="60"/>
      <c r="L1" s="56"/>
      <c r="M1" s="56"/>
      <c r="N1" s="61"/>
    </row>
    <row r="2" spans="1:15" x14ac:dyDescent="0.25">
      <c r="A2" s="62" t="s">
        <v>229</v>
      </c>
      <c r="B2" s="62" t="s">
        <v>230</v>
      </c>
      <c r="C2" s="63"/>
      <c r="D2" s="63"/>
      <c r="E2" s="64"/>
      <c r="F2" s="62"/>
      <c r="G2" s="62"/>
      <c r="H2" s="65"/>
      <c r="I2" s="66"/>
      <c r="K2" t="s">
        <v>1</v>
      </c>
      <c r="L2" s="65"/>
      <c r="M2" s="65"/>
      <c r="N2" s="67">
        <f>'UH-plan detaljerad'!B4</f>
        <v>45673</v>
      </c>
      <c r="O2" s="68"/>
    </row>
    <row r="3" spans="1:15" ht="25.5" x14ac:dyDescent="0.25">
      <c r="A3" s="69" t="s">
        <v>231</v>
      </c>
      <c r="B3" s="70" t="s">
        <v>232</v>
      </c>
      <c r="C3" s="71" t="s">
        <v>233</v>
      </c>
      <c r="D3" s="71" t="s">
        <v>234</v>
      </c>
      <c r="E3" s="72">
        <v>2025</v>
      </c>
      <c r="F3" s="73">
        <v>2026</v>
      </c>
      <c r="G3" s="72">
        <v>2027</v>
      </c>
      <c r="H3" s="74">
        <v>2028</v>
      </c>
      <c r="I3" s="72">
        <v>2029</v>
      </c>
      <c r="J3" s="72" t="s">
        <v>408</v>
      </c>
      <c r="K3" s="73" t="s">
        <v>409</v>
      </c>
      <c r="L3" s="72" t="s">
        <v>410</v>
      </c>
      <c r="M3" s="73" t="s">
        <v>451</v>
      </c>
      <c r="N3" s="72" t="s">
        <v>235</v>
      </c>
      <c r="O3" s="68"/>
    </row>
    <row r="4" spans="1:15" x14ac:dyDescent="0.25">
      <c r="A4" s="75" t="s">
        <v>236</v>
      </c>
      <c r="B4" s="76"/>
      <c r="C4" s="77"/>
      <c r="D4" s="77"/>
      <c r="E4" s="78"/>
      <c r="F4" s="79"/>
      <c r="G4" s="79"/>
      <c r="H4" s="79"/>
      <c r="I4" s="79"/>
      <c r="J4" s="79"/>
      <c r="K4" s="79"/>
      <c r="L4" s="79"/>
      <c r="M4" s="79"/>
      <c r="N4" s="80"/>
      <c r="O4" s="68"/>
    </row>
    <row r="5" spans="1:15" x14ac:dyDescent="0.25">
      <c r="A5" s="81" t="s">
        <v>237</v>
      </c>
      <c r="B5" s="82">
        <f>'UH-plan detaljerad'!C8</f>
        <v>25</v>
      </c>
      <c r="C5" s="83">
        <f>'UH-plan detaljerad'!D8</f>
        <v>2016</v>
      </c>
      <c r="D5" s="84">
        <v>780</v>
      </c>
      <c r="E5" s="85"/>
      <c r="F5" s="85"/>
      <c r="G5" s="85"/>
      <c r="H5" s="85"/>
      <c r="I5" s="85"/>
      <c r="J5" s="85"/>
      <c r="K5" s="85"/>
      <c r="L5" s="85">
        <f>'UH-plan detaljerad'!M8/1000</f>
        <v>1200</v>
      </c>
      <c r="N5" s="86"/>
      <c r="O5" s="68"/>
    </row>
    <row r="6" spans="1:15" x14ac:dyDescent="0.25">
      <c r="A6" s="81" t="s">
        <v>238</v>
      </c>
      <c r="B6" s="82">
        <f>'UH-plan detaljerad'!C9</f>
        <v>20</v>
      </c>
      <c r="C6" s="83">
        <v>2016</v>
      </c>
      <c r="D6" s="84"/>
      <c r="E6" s="85"/>
      <c r="F6" s="85"/>
      <c r="G6" s="85"/>
      <c r="H6" s="85"/>
      <c r="I6" s="85"/>
      <c r="J6" s="85"/>
      <c r="K6" s="85">
        <v>70</v>
      </c>
      <c r="L6" s="85"/>
      <c r="M6" s="85"/>
      <c r="N6" s="86"/>
      <c r="O6" s="68"/>
    </row>
    <row r="7" spans="1:15" x14ac:dyDescent="0.25">
      <c r="A7" s="87" t="s">
        <v>472</v>
      </c>
      <c r="B7" s="88"/>
      <c r="C7" s="89"/>
      <c r="D7" s="90"/>
      <c r="E7" s="91"/>
      <c r="F7" s="91"/>
      <c r="G7" s="91"/>
      <c r="H7" s="91"/>
      <c r="I7" s="91"/>
      <c r="J7" s="91"/>
      <c r="K7" s="91"/>
      <c r="L7" s="91"/>
      <c r="M7" s="91"/>
      <c r="N7" s="92"/>
      <c r="O7" s="68"/>
    </row>
    <row r="8" spans="1:15" x14ac:dyDescent="0.25">
      <c r="A8" s="93" t="s">
        <v>239</v>
      </c>
      <c r="B8" s="94" t="s">
        <v>58</v>
      </c>
      <c r="C8" s="83">
        <f>'UH-plan detaljerad'!D47</f>
        <v>2002</v>
      </c>
      <c r="D8" s="84" t="s">
        <v>14</v>
      </c>
      <c r="E8" s="85"/>
      <c r="F8" s="85"/>
      <c r="G8" s="85"/>
      <c r="H8" s="85"/>
      <c r="I8" s="85"/>
      <c r="J8" s="85"/>
      <c r="K8" s="85">
        <f>'UH-plan detaljerad'!K47/1000</f>
        <v>307</v>
      </c>
      <c r="M8" s="85"/>
      <c r="N8" s="86"/>
      <c r="O8" s="68"/>
    </row>
    <row r="9" spans="1:15" x14ac:dyDescent="0.25">
      <c r="A9" s="81" t="s">
        <v>240</v>
      </c>
      <c r="B9" s="82">
        <v>20</v>
      </c>
      <c r="C9" s="83">
        <f>'UH-plan detaljerad'!D12</f>
        <v>2018</v>
      </c>
      <c r="D9" s="84">
        <f>'UH-plan detaljerad'!E12/1000</f>
        <v>1673</v>
      </c>
      <c r="E9" s="85"/>
      <c r="F9" s="85"/>
      <c r="G9" s="95"/>
      <c r="H9" s="95"/>
      <c r="I9" s="95"/>
      <c r="J9" s="85"/>
      <c r="K9" s="85"/>
      <c r="L9" s="85"/>
      <c r="M9" s="85"/>
      <c r="N9" s="86"/>
      <c r="O9" s="68"/>
    </row>
    <row r="10" spans="1:15" x14ac:dyDescent="0.25">
      <c r="A10" s="81" t="s">
        <v>453</v>
      </c>
      <c r="B10" s="82"/>
      <c r="C10" s="84"/>
      <c r="D10" s="84"/>
      <c r="E10" s="85">
        <f>'UH-plan detaljerad'!F16/1000+'UH-plan detaljerad'!F17/1000</f>
        <v>25.02</v>
      </c>
      <c r="F10" s="85">
        <f>'UH-plan detaljerad'!G16/1000+'UH-plan detaljerad'!G17/1000</f>
        <v>26.271000000000001</v>
      </c>
      <c r="G10" s="85">
        <f>'UH-plan detaljerad'!H16/1000+'UH-plan detaljerad'!H17/1000</f>
        <v>27.58455</v>
      </c>
      <c r="H10" s="85">
        <f>'UH-plan detaljerad'!I16/1000+'UH-plan detaljerad'!I17/1000</f>
        <v>28.412086500000001</v>
      </c>
      <c r="I10" s="85">
        <f>'UH-plan detaljerad'!J16/1000+'UH-plan detaljerad'!J17/1000</f>
        <v>29.264449095</v>
      </c>
      <c r="J10" s="85">
        <f>'UH-plan detaljerad'!J16/1000*5</f>
        <v>119.30350949999999</v>
      </c>
      <c r="K10" s="85">
        <f>'UH-plan detaljerad'!K16/1000</f>
        <v>119.3035095</v>
      </c>
      <c r="L10" s="85">
        <f>'UH-plan detaljerad'!L16/1000</f>
        <v>122.882614785</v>
      </c>
      <c r="M10" s="85"/>
      <c r="N10" s="86"/>
    </row>
    <row r="11" spans="1:15" x14ac:dyDescent="0.25">
      <c r="A11" s="177" t="s">
        <v>452</v>
      </c>
      <c r="B11" s="178">
        <v>1</v>
      </c>
      <c r="C11" s="178">
        <v>2024</v>
      </c>
      <c r="D11" s="178">
        <f>'UH-plan detaljerad'!E20/1000</f>
        <v>3.4</v>
      </c>
      <c r="E11" s="178">
        <f>'UH-plan detaljerad'!G20/1000</f>
        <v>3.7484999999999999</v>
      </c>
      <c r="F11" s="178">
        <f>'UH-plan detaljerad'!H20/1000</f>
        <v>3.9359250000000001</v>
      </c>
      <c r="G11" s="178">
        <f>'UH-plan detaljerad'!I20/1000</f>
        <v>4.0540027500000004</v>
      </c>
      <c r="H11" s="178">
        <f>'UH-plan detaljerad'!J20/1000</f>
        <v>4.1756228325000002</v>
      </c>
      <c r="I11" s="178">
        <f>'UH-plan detaljerad'!K20/1000</f>
        <v>21.504457587375001</v>
      </c>
      <c r="J11" s="178">
        <f>'UH-plan detaljerad'!L20/1000</f>
        <v>110.74795657498125</v>
      </c>
      <c r="K11" s="178">
        <f>'UH-plan detaljerad'!M20/1000</f>
        <v>114.07039527223068</v>
      </c>
      <c r="L11" s="178">
        <f>'UH-plan detaljerad'!N20/1000</f>
        <v>0</v>
      </c>
      <c r="M11" s="178"/>
      <c r="N11" s="178"/>
    </row>
    <row r="12" spans="1:15" x14ac:dyDescent="0.25">
      <c r="A12" s="96" t="s">
        <v>454</v>
      </c>
      <c r="B12" s="88"/>
      <c r="C12" s="90"/>
      <c r="D12" s="90"/>
      <c r="E12" s="91"/>
      <c r="F12" s="91"/>
      <c r="G12" s="91"/>
      <c r="H12" s="91"/>
      <c r="I12" s="91"/>
      <c r="J12" s="91"/>
      <c r="K12" s="91"/>
      <c r="L12" s="91"/>
      <c r="M12" s="91"/>
      <c r="N12" s="92"/>
    </row>
    <row r="13" spans="1:15" ht="26.25" x14ac:dyDescent="0.25">
      <c r="A13" s="97" t="s">
        <v>241</v>
      </c>
      <c r="B13" s="98">
        <v>60</v>
      </c>
      <c r="C13" s="99" t="s">
        <v>242</v>
      </c>
      <c r="D13" s="100">
        <v>1035</v>
      </c>
      <c r="E13" s="101"/>
      <c r="F13" s="85"/>
      <c r="G13" s="85"/>
      <c r="H13" s="85"/>
      <c r="I13" s="85"/>
      <c r="J13" s="85"/>
      <c r="K13" s="85"/>
      <c r="L13" s="85"/>
      <c r="M13" s="85"/>
      <c r="N13" s="86"/>
      <c r="O13" s="102"/>
    </row>
    <row r="14" spans="1:15" x14ac:dyDescent="0.25">
      <c r="A14" s="87" t="s">
        <v>455</v>
      </c>
      <c r="B14" s="88"/>
      <c r="C14" s="90"/>
      <c r="D14" s="90"/>
      <c r="E14" s="91"/>
      <c r="F14" s="91"/>
      <c r="G14" s="91"/>
      <c r="H14" s="91"/>
      <c r="I14" s="91"/>
      <c r="J14" s="91"/>
      <c r="K14" s="91"/>
      <c r="L14" s="91"/>
      <c r="M14" s="91"/>
      <c r="N14" s="92"/>
      <c r="O14" s="68"/>
    </row>
    <row r="15" spans="1:15" x14ac:dyDescent="0.25">
      <c r="A15" s="81" t="s">
        <v>243</v>
      </c>
      <c r="B15" s="82">
        <v>15</v>
      </c>
      <c r="C15" s="83">
        <v>2022</v>
      </c>
      <c r="D15" s="84">
        <v>271</v>
      </c>
      <c r="E15" s="95"/>
      <c r="F15" s="95"/>
      <c r="G15" s="95"/>
      <c r="H15" s="95"/>
      <c r="I15" s="95"/>
      <c r="J15" s="95"/>
      <c r="K15" s="85"/>
      <c r="L15" s="85">
        <f>'UH-plan detaljerad'!M93/1000</f>
        <v>298.10000000000002</v>
      </c>
      <c r="M15" s="85"/>
      <c r="N15" s="86"/>
    </row>
    <row r="16" spans="1:15" x14ac:dyDescent="0.25">
      <c r="A16" s="81" t="s">
        <v>244</v>
      </c>
      <c r="B16" s="82">
        <v>60</v>
      </c>
      <c r="C16" s="83"/>
      <c r="D16" s="84"/>
      <c r="E16" s="95"/>
      <c r="F16" s="95"/>
      <c r="G16" s="95"/>
      <c r="H16" s="95"/>
      <c r="I16" s="95"/>
      <c r="J16" s="95"/>
      <c r="K16" s="85"/>
      <c r="L16" s="85"/>
      <c r="M16" s="85"/>
      <c r="N16" s="86">
        <f>'UH-plan detaljerad'!O38/1000</f>
        <v>300</v>
      </c>
    </row>
    <row r="17" spans="1:15" x14ac:dyDescent="0.25">
      <c r="A17" s="81" t="s">
        <v>245</v>
      </c>
      <c r="B17" s="82">
        <v>15</v>
      </c>
      <c r="C17" s="83">
        <v>2022</v>
      </c>
      <c r="D17" s="84">
        <v>34</v>
      </c>
      <c r="E17" s="95"/>
      <c r="F17" s="95"/>
      <c r="G17" s="95"/>
      <c r="H17" s="95"/>
      <c r="I17" s="95"/>
      <c r="J17" s="95">
        <f>'UH-plan detaljerad'!L30/1000</f>
        <v>37.4</v>
      </c>
      <c r="K17" s="85"/>
      <c r="L17" s="85"/>
      <c r="M17" s="85"/>
      <c r="N17" s="86"/>
    </row>
    <row r="18" spans="1:15" x14ac:dyDescent="0.25">
      <c r="A18" s="81" t="s">
        <v>246</v>
      </c>
      <c r="B18" s="82">
        <v>10</v>
      </c>
      <c r="C18" s="83">
        <v>2015</v>
      </c>
      <c r="D18" s="84">
        <f>'UH-plan detaljerad'!E95/1000</f>
        <v>25.6</v>
      </c>
      <c r="E18" s="95">
        <f>'UH-plan detaljerad'!F37/1000</f>
        <v>0</v>
      </c>
      <c r="F18" s="95"/>
      <c r="G18" s="95">
        <f>'UH-plan detaljerad'!H95/1000</f>
        <v>30</v>
      </c>
      <c r="H18" s="95"/>
      <c r="I18" s="95"/>
      <c r="J18" s="95"/>
      <c r="K18" s="85">
        <f>'UH-plan detaljerad'!L37/1000</f>
        <v>41</v>
      </c>
      <c r="L18" s="85"/>
      <c r="M18" s="85"/>
      <c r="N18" s="86"/>
    </row>
    <row r="19" spans="1:15" s="104" customFormat="1" x14ac:dyDescent="0.25">
      <c r="A19" s="103" t="s">
        <v>247</v>
      </c>
      <c r="B19" s="82"/>
      <c r="C19" s="83">
        <v>2021</v>
      </c>
      <c r="D19" s="84">
        <v>4</v>
      </c>
      <c r="E19" s="95">
        <f>'UH-plan detaljerad'!F36/1000</f>
        <v>4.5199999999999996</v>
      </c>
      <c r="F19" s="95">
        <f>'UH-plan detaljerad'!E36/1000</f>
        <v>4.0999999999999996</v>
      </c>
      <c r="G19" s="95">
        <f>'UH-plan detaljerad'!G36/1000</f>
        <v>4.7460000000000004</v>
      </c>
      <c r="H19" s="95">
        <f>'UH-plan detaljerad'!H36/1000</f>
        <v>4.9832999999999998</v>
      </c>
      <c r="I19" s="95">
        <v>5</v>
      </c>
      <c r="J19" s="95">
        <f>'UH-plan detaljerad'!J35/1000+4</f>
        <v>30</v>
      </c>
      <c r="K19" s="85">
        <f>'UH-plan detaljerad'!K36/1000</f>
        <v>27.226932295500003</v>
      </c>
      <c r="L19" s="85">
        <f>'UH-plan detaljerad'!L36/1000</f>
        <v>28.043740264365002</v>
      </c>
      <c r="M19" s="85"/>
      <c r="N19" s="86"/>
    </row>
    <row r="20" spans="1:15" x14ac:dyDescent="0.25">
      <c r="A20" s="105" t="s">
        <v>248</v>
      </c>
      <c r="B20" s="94"/>
      <c r="C20" s="106">
        <v>2022</v>
      </c>
      <c r="D20" s="107">
        <f>'UH-plan detaljerad'!F29/1000</f>
        <v>105.25</v>
      </c>
      <c r="E20" s="85">
        <v>105</v>
      </c>
      <c r="F20" s="85"/>
      <c r="G20" s="85"/>
      <c r="H20" s="85"/>
      <c r="I20" s="85"/>
      <c r="J20" s="85"/>
      <c r="K20" s="85"/>
      <c r="L20" s="85"/>
      <c r="M20" s="85"/>
      <c r="N20" s="86"/>
    </row>
    <row r="21" spans="1:15" x14ac:dyDescent="0.25">
      <c r="A21" s="108" t="s">
        <v>456</v>
      </c>
      <c r="B21" s="109"/>
      <c r="C21" s="110"/>
      <c r="D21" s="111"/>
      <c r="E21" s="112"/>
      <c r="F21" s="112"/>
      <c r="G21" s="112"/>
      <c r="H21" s="112"/>
      <c r="I21" s="112"/>
      <c r="J21" s="112"/>
      <c r="K21" s="112"/>
      <c r="L21" s="112"/>
      <c r="M21" s="112"/>
      <c r="N21" s="113"/>
    </row>
    <row r="22" spans="1:15" x14ac:dyDescent="0.25">
      <c r="A22" s="81" t="s">
        <v>249</v>
      </c>
      <c r="B22" s="82">
        <v>35</v>
      </c>
      <c r="C22" s="83">
        <v>2005</v>
      </c>
      <c r="D22" s="84"/>
      <c r="E22" s="114"/>
      <c r="F22" s="114"/>
      <c r="G22" s="114"/>
      <c r="H22" s="114"/>
      <c r="I22" s="114"/>
      <c r="J22" s="85"/>
      <c r="K22" s="114"/>
      <c r="L22" s="114">
        <f>'UH-plan detaljerad'!L41/1000</f>
        <v>2800</v>
      </c>
      <c r="M22" s="114"/>
      <c r="N22" s="115"/>
    </row>
    <row r="23" spans="1:15" x14ac:dyDescent="0.25">
      <c r="A23" s="81" t="s">
        <v>250</v>
      </c>
      <c r="B23" s="82">
        <v>20</v>
      </c>
      <c r="C23" s="83">
        <v>2014</v>
      </c>
      <c r="D23" s="84">
        <f>'UH-plan detaljerad'!E42/1000</f>
        <v>1018</v>
      </c>
      <c r="E23" s="114"/>
      <c r="F23" s="114"/>
      <c r="G23" s="114"/>
      <c r="H23" s="114"/>
      <c r="I23" s="114"/>
      <c r="J23" s="114"/>
      <c r="K23" s="114">
        <f>'UH-plan detaljerad'!K42/1000</f>
        <v>1317</v>
      </c>
      <c r="L23" s="114"/>
      <c r="M23" s="114"/>
      <c r="N23" s="115"/>
    </row>
    <row r="24" spans="1:15" x14ac:dyDescent="0.25">
      <c r="A24" s="87" t="s">
        <v>457</v>
      </c>
      <c r="B24" s="88"/>
      <c r="C24" s="89"/>
      <c r="D24" s="90"/>
      <c r="E24" s="91"/>
      <c r="F24" s="91"/>
      <c r="G24" s="91"/>
      <c r="H24" s="91"/>
      <c r="I24" s="91"/>
      <c r="J24" s="91"/>
      <c r="K24" s="91"/>
      <c r="L24" s="91"/>
      <c r="M24" s="91"/>
      <c r="N24" s="92"/>
    </row>
    <row r="25" spans="1:15" x14ac:dyDescent="0.25">
      <c r="A25" s="81" t="s">
        <v>458</v>
      </c>
      <c r="B25" s="82"/>
      <c r="C25" s="83">
        <v>2002</v>
      </c>
      <c r="D25" s="84"/>
      <c r="E25" s="114"/>
      <c r="F25" s="114"/>
      <c r="G25" s="114"/>
      <c r="H25" s="114"/>
      <c r="I25" s="114"/>
      <c r="J25" s="114">
        <f>'UH-plan detaljerad'!K47/1000</f>
        <v>307</v>
      </c>
      <c r="K25" s="114"/>
      <c r="L25" s="114"/>
      <c r="M25" s="114"/>
      <c r="N25" s="115"/>
    </row>
    <row r="26" spans="1:15" x14ac:dyDescent="0.25">
      <c r="A26" s="87" t="s">
        <v>459</v>
      </c>
      <c r="B26" s="88"/>
      <c r="C26" s="89"/>
      <c r="D26" s="90"/>
      <c r="E26" s="91"/>
      <c r="F26" s="91"/>
      <c r="G26" s="91"/>
      <c r="H26" s="91"/>
      <c r="I26" s="91"/>
      <c r="J26" s="91"/>
      <c r="K26" s="91"/>
      <c r="L26" s="91"/>
      <c r="M26" s="91"/>
      <c r="N26" s="92"/>
      <c r="O26" s="68"/>
    </row>
    <row r="27" spans="1:15" x14ac:dyDescent="0.25">
      <c r="A27" s="81" t="s">
        <v>251</v>
      </c>
      <c r="B27" s="82">
        <v>2</v>
      </c>
      <c r="C27" s="83">
        <v>2022</v>
      </c>
      <c r="D27" s="84">
        <f>'UH-plan detaljerad'!E55/1000</f>
        <v>15.115</v>
      </c>
      <c r="E27" s="116">
        <f>'UH-plan detaljerad'!F55/1000</f>
        <v>17</v>
      </c>
      <c r="F27" s="116">
        <f>'UH-plan detaljerad'!G55/1000</f>
        <v>17.850000000000001</v>
      </c>
      <c r="G27" s="116">
        <f>'UH-plan detaljerad'!H55/1000</f>
        <v>18.7425</v>
      </c>
      <c r="H27" s="116">
        <f>'UH-plan detaljerad'!I55/1000</f>
        <v>19.304775000000003</v>
      </c>
      <c r="I27" s="116">
        <f>'UH-plan detaljerad'!J55/1000</f>
        <v>19.883918250000001</v>
      </c>
      <c r="J27" s="114">
        <f>'UH-plan detaljerad'!K55/1000</f>
        <v>102.40217898750001</v>
      </c>
      <c r="K27" s="114">
        <f>'UH-plan detaljerad'!L55/1000</f>
        <v>105.47424435712502</v>
      </c>
      <c r="L27" s="114">
        <f>'UH-plan detaljerad'!L55/1000</f>
        <v>105.47424435712502</v>
      </c>
      <c r="M27" s="114"/>
      <c r="N27" s="115"/>
      <c r="O27" s="62" t="s">
        <v>252</v>
      </c>
    </row>
    <row r="28" spans="1:15" x14ac:dyDescent="0.25">
      <c r="A28" s="105" t="s">
        <v>253</v>
      </c>
      <c r="B28" s="94">
        <v>5</v>
      </c>
      <c r="C28" s="106">
        <v>2020</v>
      </c>
      <c r="E28" s="116"/>
      <c r="F28" s="116"/>
      <c r="G28" s="116"/>
      <c r="H28" s="116"/>
      <c r="I28" s="116"/>
      <c r="J28" s="116"/>
      <c r="K28" s="116"/>
      <c r="L28" s="116"/>
      <c r="M28" s="116"/>
      <c r="N28" s="117"/>
      <c r="O28" s="68"/>
    </row>
    <row r="29" spans="1:15" x14ac:dyDescent="0.25">
      <c r="A29" s="105" t="s">
        <v>254</v>
      </c>
      <c r="B29" s="94">
        <v>20</v>
      </c>
      <c r="C29" s="106">
        <v>2024</v>
      </c>
      <c r="D29" s="107">
        <f>'UH-plan detaljerad'!E57/1000</f>
        <v>10.74</v>
      </c>
      <c r="E29" s="116"/>
      <c r="F29" s="116"/>
      <c r="G29" s="116"/>
      <c r="H29" s="116"/>
      <c r="I29" s="116"/>
      <c r="J29" s="116"/>
      <c r="K29" s="116"/>
      <c r="L29" s="116"/>
      <c r="M29" s="116"/>
      <c r="N29" s="117"/>
      <c r="O29" s="68"/>
    </row>
    <row r="30" spans="1:15" x14ac:dyDescent="0.25">
      <c r="A30" s="87" t="s">
        <v>460</v>
      </c>
      <c r="B30" s="76"/>
      <c r="C30" s="89"/>
      <c r="D30" s="90"/>
      <c r="E30" s="91"/>
      <c r="F30" s="91"/>
      <c r="G30" s="91"/>
      <c r="H30" s="91"/>
      <c r="I30" s="91"/>
      <c r="J30" s="91"/>
      <c r="K30" s="91"/>
      <c r="L30" s="91"/>
      <c r="M30" s="91"/>
      <c r="N30" s="92"/>
    </row>
    <row r="31" spans="1:15" x14ac:dyDescent="0.25">
      <c r="A31" s="81" t="s">
        <v>255</v>
      </c>
      <c r="B31" s="82">
        <v>25</v>
      </c>
      <c r="C31" s="83">
        <v>2021</v>
      </c>
      <c r="D31" s="84">
        <v>51</v>
      </c>
      <c r="E31" s="95"/>
      <c r="F31" s="95"/>
      <c r="G31" s="95"/>
      <c r="H31" s="95"/>
      <c r="I31" s="95"/>
      <c r="J31" s="85"/>
      <c r="K31" s="85"/>
      <c r="L31" s="85"/>
      <c r="M31" s="85">
        <f>'UH-plan detaljerad'!M64/1000</f>
        <v>84</v>
      </c>
      <c r="N31" s="86"/>
    </row>
    <row r="32" spans="1:15" x14ac:dyDescent="0.25">
      <c r="A32" s="118" t="s">
        <v>256</v>
      </c>
      <c r="B32" s="82">
        <v>10</v>
      </c>
      <c r="C32" s="83">
        <v>2015</v>
      </c>
      <c r="D32" s="84"/>
      <c r="E32" s="95"/>
      <c r="F32" s="95"/>
      <c r="G32" s="95"/>
      <c r="H32" s="95"/>
      <c r="I32" s="95">
        <f>'UH-plan detaljerad'!I66/1000</f>
        <v>31</v>
      </c>
      <c r="J32" s="101"/>
      <c r="K32" s="85"/>
      <c r="L32" s="85"/>
      <c r="M32" s="85"/>
      <c r="N32" s="86"/>
    </row>
    <row r="33" spans="1:15" x14ac:dyDescent="0.25">
      <c r="A33" s="81" t="s">
        <v>257</v>
      </c>
      <c r="B33" s="82">
        <v>25</v>
      </c>
      <c r="C33" s="83">
        <v>2015</v>
      </c>
      <c r="D33" s="84">
        <f>'UH-plan detaljerad'!E65/1000</f>
        <v>388.5</v>
      </c>
      <c r="E33" s="85"/>
      <c r="F33" s="85"/>
      <c r="G33" s="85"/>
      <c r="H33" s="85"/>
      <c r="I33" s="85"/>
      <c r="J33" s="85"/>
      <c r="K33" s="85"/>
      <c r="L33" s="85">
        <f>'UH-plan detaljerad'!M65/1000</f>
        <v>590</v>
      </c>
      <c r="M33" s="85"/>
      <c r="N33" s="86"/>
    </row>
    <row r="34" spans="1:15" x14ac:dyDescent="0.25">
      <c r="A34" s="87" t="s">
        <v>461</v>
      </c>
      <c r="B34" s="88"/>
      <c r="C34" s="89"/>
      <c r="D34" s="90"/>
      <c r="E34" s="91"/>
      <c r="F34" s="119"/>
      <c r="G34" s="119"/>
      <c r="H34" s="119"/>
      <c r="I34" s="119"/>
      <c r="J34" s="119"/>
      <c r="K34" s="119"/>
      <c r="L34" s="119"/>
      <c r="M34" s="119"/>
      <c r="N34" s="120"/>
    </row>
    <row r="35" spans="1:15" x14ac:dyDescent="0.25">
      <c r="A35" s="81" t="s">
        <v>258</v>
      </c>
      <c r="B35" s="82">
        <v>80</v>
      </c>
      <c r="C35" s="83">
        <v>2021</v>
      </c>
      <c r="D35" s="84">
        <v>69</v>
      </c>
      <c r="E35" s="95"/>
      <c r="F35" s="85"/>
      <c r="G35" s="85"/>
      <c r="H35" s="85"/>
      <c r="I35" s="85"/>
      <c r="J35" s="85"/>
      <c r="K35" s="85"/>
      <c r="L35" s="85"/>
      <c r="M35" s="85"/>
      <c r="N35" s="86"/>
    </row>
    <row r="36" spans="1:15" x14ac:dyDescent="0.25">
      <c r="A36" s="105" t="s">
        <v>259</v>
      </c>
      <c r="B36" s="94">
        <v>15</v>
      </c>
      <c r="C36" s="83">
        <v>2021</v>
      </c>
      <c r="D36" s="84">
        <v>25</v>
      </c>
      <c r="E36" s="116"/>
      <c r="F36" s="85"/>
      <c r="G36" s="85"/>
      <c r="H36" s="85"/>
      <c r="I36" s="85"/>
      <c r="J36" s="85"/>
      <c r="K36" s="85"/>
      <c r="L36" s="85"/>
      <c r="M36" s="85"/>
      <c r="N36" s="86"/>
    </row>
    <row r="37" spans="1:15" x14ac:dyDescent="0.25">
      <c r="A37" s="81" t="s">
        <v>260</v>
      </c>
      <c r="B37" s="82">
        <v>50</v>
      </c>
      <c r="C37" s="83">
        <v>2020</v>
      </c>
      <c r="D37" s="84"/>
      <c r="E37" s="85"/>
      <c r="F37" s="85"/>
      <c r="G37" s="85"/>
      <c r="H37" s="85"/>
      <c r="I37" s="85"/>
      <c r="J37" s="85"/>
      <c r="K37" s="85"/>
      <c r="L37" s="85"/>
      <c r="M37" s="85"/>
      <c r="N37" s="86"/>
    </row>
    <row r="38" spans="1:15" x14ac:dyDescent="0.25">
      <c r="A38" s="108" t="s">
        <v>462</v>
      </c>
      <c r="B38" s="109"/>
      <c r="C38" s="110"/>
      <c r="D38" s="111"/>
      <c r="E38" s="112"/>
      <c r="F38" s="112"/>
      <c r="G38" s="112"/>
      <c r="H38" s="112"/>
      <c r="I38" s="112"/>
      <c r="J38" s="112"/>
      <c r="K38" s="112"/>
      <c r="L38" s="112"/>
      <c r="M38" s="112"/>
      <c r="N38" s="113"/>
      <c r="O38" s="68"/>
    </row>
    <row r="39" spans="1:15" x14ac:dyDescent="0.25">
      <c r="A39" s="81" t="s">
        <v>111</v>
      </c>
      <c r="B39" s="82">
        <v>20</v>
      </c>
      <c r="C39" s="83">
        <v>2000</v>
      </c>
      <c r="D39" s="84">
        <v>58</v>
      </c>
      <c r="E39" s="116"/>
      <c r="F39" s="116"/>
      <c r="G39" s="114"/>
      <c r="H39" s="114"/>
      <c r="I39" s="114"/>
      <c r="J39" s="114"/>
      <c r="K39" s="114"/>
      <c r="L39" s="114">
        <f>'UH-plan detaljerad'!L80/1000</f>
        <v>77.599999999999994</v>
      </c>
      <c r="M39" s="114"/>
      <c r="N39" s="115"/>
    </row>
    <row r="40" spans="1:15" x14ac:dyDescent="0.25">
      <c r="A40" s="81" t="s">
        <v>261</v>
      </c>
      <c r="B40" s="82">
        <v>90</v>
      </c>
      <c r="C40" s="83">
        <v>1990</v>
      </c>
      <c r="D40" s="84"/>
      <c r="E40" s="116"/>
      <c r="F40" s="116"/>
      <c r="G40" s="114"/>
      <c r="H40" s="114"/>
      <c r="I40" s="114"/>
      <c r="J40" s="114"/>
      <c r="K40" s="114"/>
      <c r="L40" s="114">
        <f>'UH-plan detaljerad'!M78/1000</f>
        <v>1100</v>
      </c>
      <c r="M40" s="114"/>
      <c r="N40" s="115"/>
    </row>
    <row r="41" spans="1:15" x14ac:dyDescent="0.25">
      <c r="A41" s="81" t="s">
        <v>262</v>
      </c>
      <c r="B41" s="82"/>
      <c r="C41" s="83">
        <v>2021</v>
      </c>
      <c r="D41" s="84">
        <v>67</v>
      </c>
      <c r="E41" s="116"/>
      <c r="F41" s="116"/>
      <c r="G41" s="114"/>
      <c r="H41" s="114"/>
      <c r="I41" s="114"/>
      <c r="J41" s="114"/>
      <c r="K41" s="114"/>
      <c r="L41" s="114"/>
      <c r="M41" s="114"/>
      <c r="N41" s="115"/>
    </row>
    <row r="42" spans="1:15" x14ac:dyDescent="0.25">
      <c r="A42" s="81" t="s">
        <v>263</v>
      </c>
      <c r="B42" s="82">
        <v>40</v>
      </c>
      <c r="C42" s="83"/>
      <c r="D42" s="84"/>
      <c r="E42" s="116"/>
      <c r="F42" s="116"/>
      <c r="G42" s="114"/>
      <c r="H42" s="114"/>
      <c r="I42" s="85"/>
      <c r="J42" s="114">
        <f>'UH-plan detaljerad'!J87/1000</f>
        <v>40</v>
      </c>
      <c r="K42" s="114"/>
      <c r="L42" s="114"/>
      <c r="M42" s="114"/>
      <c r="N42" s="115"/>
      <c r="O42" s="62"/>
    </row>
    <row r="43" spans="1:15" x14ac:dyDescent="0.25">
      <c r="A43" s="81" t="s">
        <v>264</v>
      </c>
      <c r="B43" s="82">
        <v>1</v>
      </c>
      <c r="C43" s="83">
        <v>2021</v>
      </c>
      <c r="D43" s="84">
        <v>54</v>
      </c>
      <c r="E43" s="116">
        <v>3</v>
      </c>
      <c r="F43" s="116">
        <v>3</v>
      </c>
      <c r="G43" s="114">
        <v>3</v>
      </c>
      <c r="H43" s="114">
        <v>4</v>
      </c>
      <c r="I43" s="114">
        <v>4</v>
      </c>
      <c r="J43" s="114">
        <v>20</v>
      </c>
      <c r="K43" s="114">
        <f>5*4.5</f>
        <v>22.5</v>
      </c>
      <c r="L43" s="114">
        <f>5*5</f>
        <v>25</v>
      </c>
      <c r="M43" s="114"/>
      <c r="N43" s="115"/>
      <c r="O43" s="62"/>
    </row>
    <row r="44" spans="1:15" x14ac:dyDescent="0.25">
      <c r="A44" s="121" t="s">
        <v>463</v>
      </c>
      <c r="B44" s="122"/>
      <c r="C44" s="123"/>
      <c r="D44" s="124"/>
      <c r="E44" s="125"/>
      <c r="F44" s="125"/>
      <c r="G44" s="125"/>
      <c r="H44" s="125"/>
      <c r="I44" s="125"/>
      <c r="J44" s="125"/>
      <c r="K44" s="125"/>
      <c r="L44" s="125"/>
      <c r="M44" s="125"/>
      <c r="N44" s="126"/>
      <c r="O44" s="62"/>
    </row>
    <row r="45" spans="1:15" x14ac:dyDescent="0.25">
      <c r="A45" s="81" t="s">
        <v>265</v>
      </c>
      <c r="B45" s="82">
        <v>25</v>
      </c>
      <c r="C45" s="83">
        <v>2023</v>
      </c>
      <c r="D45" s="84">
        <f>'UH-plan detaljerad'!E94/1000</f>
        <v>210</v>
      </c>
      <c r="E45" s="116"/>
      <c r="F45" s="116"/>
      <c r="G45" s="114"/>
      <c r="H45" s="114"/>
      <c r="I45" s="114"/>
      <c r="J45" s="114"/>
      <c r="K45" s="114"/>
      <c r="L45" s="114"/>
      <c r="M45" s="114"/>
      <c r="N45" s="115"/>
      <c r="O45" s="62"/>
    </row>
    <row r="46" spans="1:15" x14ac:dyDescent="0.25">
      <c r="A46" s="87" t="s">
        <v>464</v>
      </c>
      <c r="B46" s="88"/>
      <c r="C46" s="89"/>
      <c r="D46" s="90"/>
      <c r="E46" s="91"/>
      <c r="F46" s="91"/>
      <c r="G46" s="91"/>
      <c r="H46" s="91"/>
      <c r="I46" s="91"/>
      <c r="J46" s="91"/>
      <c r="K46" s="91"/>
      <c r="L46" s="91"/>
      <c r="M46" s="91"/>
      <c r="N46" s="92"/>
    </row>
    <row r="47" spans="1:15" x14ac:dyDescent="0.25">
      <c r="A47" s="81" t="s">
        <v>266</v>
      </c>
      <c r="B47" s="82"/>
      <c r="C47" s="83">
        <v>2021</v>
      </c>
      <c r="D47" s="84">
        <v>44</v>
      </c>
      <c r="E47" s="114"/>
      <c r="F47" s="116">
        <f>'UH-plan detaljerad'!I105/1000</f>
        <v>23.2</v>
      </c>
      <c r="G47" s="114"/>
      <c r="H47" s="114">
        <f>'UH-plan detaljerad'!J103/1000+32.2</f>
        <v>71.400000000000006</v>
      </c>
      <c r="I47" s="114"/>
      <c r="J47" s="114">
        <f>'UH-plan detaljerad'!L102/1000</f>
        <v>46</v>
      </c>
      <c r="K47" s="114"/>
      <c r="L47" s="114"/>
      <c r="M47" s="114"/>
      <c r="N47" s="115"/>
    </row>
    <row r="48" spans="1:15" x14ac:dyDescent="0.25">
      <c r="A48" s="105" t="s">
        <v>267</v>
      </c>
      <c r="B48" s="94">
        <v>15</v>
      </c>
      <c r="C48" s="106">
        <v>2023</v>
      </c>
      <c r="D48" s="107">
        <f>'UH-plan detaljerad'!E111/1000</f>
        <v>110</v>
      </c>
      <c r="E48" s="101"/>
      <c r="F48" s="114"/>
      <c r="G48" s="114"/>
      <c r="H48" s="114"/>
      <c r="I48" s="114"/>
      <c r="J48" s="114"/>
      <c r="K48" s="114">
        <f>'UH-plan detaljerad'!L70/1000</f>
        <v>50.600000000000009</v>
      </c>
      <c r="L48" s="114"/>
      <c r="M48" s="114"/>
      <c r="N48" s="115"/>
      <c r="O48" s="68"/>
    </row>
    <row r="49" spans="1:15" x14ac:dyDescent="0.25">
      <c r="A49" s="127" t="s">
        <v>465</v>
      </c>
      <c r="B49" s="128"/>
      <c r="C49" s="129"/>
      <c r="D49" s="130"/>
      <c r="E49" s="91"/>
      <c r="F49" s="91"/>
      <c r="G49" s="91"/>
      <c r="H49" s="91"/>
      <c r="I49" s="91"/>
      <c r="J49" s="91"/>
      <c r="K49" s="91"/>
      <c r="L49" s="91"/>
      <c r="M49" s="91"/>
      <c r="N49" s="92"/>
    </row>
    <row r="50" spans="1:15" x14ac:dyDescent="0.25">
      <c r="A50" s="131" t="s">
        <v>268</v>
      </c>
      <c r="B50" s="132"/>
      <c r="C50" s="83"/>
      <c r="D50" s="84"/>
      <c r="E50" s="85"/>
      <c r="F50" s="85"/>
      <c r="G50" s="85"/>
      <c r="H50" s="85"/>
      <c r="I50" s="85"/>
      <c r="J50" s="85"/>
      <c r="K50" s="85"/>
      <c r="L50" s="85"/>
      <c r="M50" s="85"/>
      <c r="N50" s="86"/>
    </row>
    <row r="51" spans="1:15" x14ac:dyDescent="0.25">
      <c r="A51" s="131" t="s">
        <v>269</v>
      </c>
      <c r="B51" s="132"/>
      <c r="C51" s="133"/>
      <c r="D51" s="134"/>
      <c r="E51" s="85"/>
      <c r="F51" s="85"/>
      <c r="G51" s="85"/>
      <c r="H51" s="85"/>
      <c r="I51" s="85"/>
      <c r="J51" s="85"/>
      <c r="K51" s="85"/>
      <c r="L51" s="85"/>
      <c r="M51" s="85"/>
      <c r="N51" s="86"/>
    </row>
    <row r="52" spans="1:15" x14ac:dyDescent="0.25">
      <c r="A52" s="131" t="s">
        <v>270</v>
      </c>
      <c r="B52" s="132">
        <v>50</v>
      </c>
      <c r="C52" s="133">
        <v>2022</v>
      </c>
      <c r="D52" s="134">
        <f>'UH-plan detaljerad'!E118/1000</f>
        <v>27</v>
      </c>
      <c r="E52" s="85"/>
      <c r="F52" s="85"/>
      <c r="G52" s="85"/>
      <c r="H52" s="85"/>
      <c r="I52" s="85"/>
      <c r="J52" s="85"/>
      <c r="K52" s="85"/>
      <c r="L52" s="85"/>
      <c r="M52" s="85"/>
      <c r="N52" s="86"/>
    </row>
    <row r="53" spans="1:15" x14ac:dyDescent="0.25">
      <c r="A53" s="131" t="s">
        <v>271</v>
      </c>
      <c r="B53" s="132">
        <v>50</v>
      </c>
      <c r="C53" s="133">
        <v>2005</v>
      </c>
      <c r="D53" s="134"/>
      <c r="E53" s="85"/>
      <c r="F53" s="114"/>
      <c r="G53" s="114"/>
      <c r="H53" s="114"/>
      <c r="I53" s="114"/>
      <c r="J53" s="114"/>
      <c r="K53" s="114"/>
      <c r="L53" s="114"/>
      <c r="M53" s="114">
        <v>7920</v>
      </c>
      <c r="N53" s="115"/>
      <c r="O53" s="68"/>
    </row>
    <row r="54" spans="1:15" x14ac:dyDescent="0.25">
      <c r="A54" s="131" t="s">
        <v>179</v>
      </c>
      <c r="B54" s="132">
        <v>15</v>
      </c>
      <c r="C54" s="133">
        <v>2020</v>
      </c>
      <c r="D54" s="134">
        <f>'UH-plan detaljerad'!E122/1000</f>
        <v>46</v>
      </c>
      <c r="E54" s="85"/>
      <c r="F54" s="114"/>
      <c r="G54" s="114"/>
      <c r="H54" s="114"/>
      <c r="I54" s="114"/>
      <c r="J54" s="114">
        <f>'UH-plan detaljerad'!J123/1000</f>
        <v>6</v>
      </c>
      <c r="K54" s="114">
        <f>'UH-plan detaljerad'!K122/1000</f>
        <v>53</v>
      </c>
      <c r="L54" s="114"/>
      <c r="M54" s="114"/>
      <c r="N54" s="115"/>
      <c r="O54" s="68"/>
    </row>
    <row r="55" spans="1:15" x14ac:dyDescent="0.25">
      <c r="A55" s="81" t="s">
        <v>272</v>
      </c>
      <c r="B55" s="82">
        <v>5</v>
      </c>
      <c r="C55" s="83">
        <v>2020</v>
      </c>
      <c r="D55" s="84">
        <f>'UH-plan detaljerad'!E119/1000</f>
        <v>60</v>
      </c>
      <c r="E55" s="85"/>
      <c r="F55" s="114"/>
      <c r="G55" s="114"/>
      <c r="H55" s="114"/>
      <c r="I55" s="116">
        <f>'UH-plan detaljerad'!H119/1000</f>
        <v>69.457499999999996</v>
      </c>
      <c r="J55" s="114">
        <f>'UH-plan detaljerad'!J119/1000</f>
        <v>73.687461749999997</v>
      </c>
      <c r="K55" s="114">
        <f>'UH-plan detaljerad'!K119/1000</f>
        <v>75.898085602500004</v>
      </c>
      <c r="L55" s="114">
        <f>'UH-plan detaljerad'!L119/1000</f>
        <v>78.175028170575004</v>
      </c>
      <c r="M55" s="114"/>
      <c r="N55" s="115"/>
      <c r="O55" s="68"/>
    </row>
    <row r="56" spans="1:15" x14ac:dyDescent="0.25">
      <c r="A56" s="87" t="s">
        <v>466</v>
      </c>
      <c r="B56" s="88"/>
      <c r="C56" s="89"/>
      <c r="D56" s="90"/>
      <c r="E56" s="91"/>
      <c r="F56" s="91"/>
      <c r="G56" s="91"/>
      <c r="H56" s="91"/>
      <c r="I56" s="91"/>
      <c r="J56" s="91"/>
      <c r="K56" s="91"/>
      <c r="L56" s="91"/>
      <c r="M56" s="91"/>
      <c r="N56" s="92"/>
      <c r="O56" s="68"/>
    </row>
    <row r="57" spans="1:15" x14ac:dyDescent="0.25">
      <c r="A57" s="131" t="s">
        <v>186</v>
      </c>
      <c r="B57" s="132">
        <v>25</v>
      </c>
      <c r="C57" s="133">
        <v>2000</v>
      </c>
      <c r="D57" s="134"/>
      <c r="E57" s="85"/>
      <c r="F57" s="85"/>
      <c r="G57" s="85"/>
      <c r="H57" s="85"/>
      <c r="I57" s="85"/>
      <c r="J57" s="85"/>
      <c r="K57" s="85"/>
      <c r="L57" s="85"/>
      <c r="M57" s="85"/>
      <c r="N57" s="86"/>
      <c r="O57" s="68"/>
    </row>
    <row r="58" spans="1:15" x14ac:dyDescent="0.25">
      <c r="A58" s="81" t="s">
        <v>273</v>
      </c>
      <c r="B58" s="82">
        <v>6</v>
      </c>
      <c r="C58" s="83">
        <v>2015</v>
      </c>
      <c r="D58" s="84"/>
      <c r="E58" s="85"/>
      <c r="F58" s="52"/>
      <c r="G58" s="85"/>
      <c r="H58" s="85"/>
      <c r="I58" s="85"/>
      <c r="J58" s="85">
        <f>'UH-plan detaljerad'!J128/1000</f>
        <v>0</v>
      </c>
      <c r="K58" s="85">
        <f>'UH-plan detaljerad'!K128/1000</f>
        <v>38</v>
      </c>
      <c r="L58" s="85">
        <f>'UH-plan detaljerad'!L128/1000</f>
        <v>41.6</v>
      </c>
      <c r="M58" s="85"/>
      <c r="N58" s="86"/>
      <c r="O58" s="68"/>
    </row>
    <row r="59" spans="1:15" x14ac:dyDescent="0.25">
      <c r="A59" s="131" t="s">
        <v>274</v>
      </c>
      <c r="B59" s="132">
        <v>10</v>
      </c>
      <c r="C59" s="133">
        <v>2019</v>
      </c>
      <c r="D59" s="134">
        <v>72</v>
      </c>
      <c r="E59" s="85"/>
      <c r="F59" s="85"/>
      <c r="G59" s="85"/>
      <c r="H59" s="85"/>
      <c r="I59" s="85"/>
      <c r="J59" s="85">
        <f>'UH-plan detaljerad'!J129/1000</f>
        <v>140.08000000000001</v>
      </c>
      <c r="K59" s="85"/>
      <c r="L59" s="85"/>
      <c r="M59" s="85"/>
      <c r="N59" s="86"/>
      <c r="O59" s="68"/>
    </row>
    <row r="60" spans="1:15" x14ac:dyDescent="0.25">
      <c r="A60" s="81" t="s">
        <v>275</v>
      </c>
      <c r="B60" s="82">
        <v>20</v>
      </c>
      <c r="C60" s="83">
        <v>2019</v>
      </c>
      <c r="D60" s="84">
        <f>'UH-plan detaljerad'!E130/1000</f>
        <v>28</v>
      </c>
      <c r="E60" s="85"/>
      <c r="F60" s="85"/>
      <c r="G60" s="85"/>
      <c r="H60" s="85"/>
      <c r="I60" s="85"/>
      <c r="J60" s="85"/>
      <c r="K60" s="85"/>
      <c r="L60" s="85">
        <f>'UH-plan detaljerad'!L130/1000</f>
        <v>52.8</v>
      </c>
      <c r="M60" s="85"/>
      <c r="N60" s="86"/>
      <c r="O60" s="68"/>
    </row>
    <row r="61" spans="1:15" x14ac:dyDescent="0.25">
      <c r="A61" s="108" t="s">
        <v>467</v>
      </c>
      <c r="B61" s="135"/>
      <c r="C61" s="136"/>
      <c r="D61" s="137"/>
      <c r="E61" s="112"/>
      <c r="F61" s="112"/>
      <c r="G61" s="112"/>
      <c r="H61" s="112"/>
      <c r="I61" s="112"/>
      <c r="J61" s="112"/>
      <c r="K61" s="112"/>
      <c r="L61" s="112"/>
      <c r="M61" s="112"/>
      <c r="N61" s="113"/>
      <c r="O61" s="68"/>
    </row>
    <row r="62" spans="1:15" x14ac:dyDescent="0.25">
      <c r="A62" s="131" t="s">
        <v>276</v>
      </c>
      <c r="B62" s="132">
        <v>40</v>
      </c>
      <c r="C62" s="133"/>
      <c r="D62" s="134"/>
      <c r="E62" s="85"/>
      <c r="F62" s="85"/>
      <c r="G62" s="85"/>
      <c r="H62" s="85"/>
      <c r="I62" s="85"/>
      <c r="J62" s="85"/>
      <c r="K62" s="85"/>
      <c r="L62" s="85"/>
      <c r="M62" s="85"/>
      <c r="N62" s="86"/>
      <c r="O62" s="68"/>
    </row>
    <row r="63" spans="1:15" x14ac:dyDescent="0.25">
      <c r="A63" s="131" t="s">
        <v>277</v>
      </c>
      <c r="B63" s="132">
        <v>40</v>
      </c>
      <c r="C63" s="133"/>
      <c r="D63" s="134"/>
      <c r="E63" s="116"/>
      <c r="F63" s="116"/>
      <c r="G63" s="116"/>
      <c r="H63" s="116"/>
      <c r="I63" s="116"/>
      <c r="J63" s="116"/>
      <c r="K63" s="116"/>
      <c r="L63" s="116"/>
      <c r="M63" s="116"/>
      <c r="N63" s="117"/>
      <c r="O63" s="68"/>
    </row>
    <row r="64" spans="1:15" x14ac:dyDescent="0.25">
      <c r="A64" s="131" t="s">
        <v>278</v>
      </c>
      <c r="B64" s="132">
        <v>25</v>
      </c>
      <c r="C64" s="133"/>
      <c r="D64" s="134"/>
      <c r="E64" s="116"/>
      <c r="F64" s="116"/>
      <c r="G64" s="116"/>
      <c r="H64" s="116"/>
      <c r="I64" s="116"/>
      <c r="J64" s="116"/>
      <c r="K64" s="116"/>
      <c r="L64" s="116"/>
      <c r="M64" s="116"/>
      <c r="N64" s="117"/>
      <c r="O64" s="68"/>
    </row>
    <row r="65" spans="1:15" x14ac:dyDescent="0.25">
      <c r="A65" s="131" t="s">
        <v>201</v>
      </c>
      <c r="B65" s="132">
        <v>25</v>
      </c>
      <c r="C65" s="133">
        <v>2021</v>
      </c>
      <c r="D65" s="134">
        <f>'UH-plan detaljerad'!E137/1000</f>
        <v>162.5</v>
      </c>
      <c r="E65" s="116"/>
      <c r="F65" s="114"/>
      <c r="G65" s="114"/>
      <c r="H65" s="114"/>
      <c r="I65" s="114"/>
      <c r="J65" s="114"/>
      <c r="K65" s="114"/>
      <c r="L65" s="114"/>
      <c r="M65" s="114"/>
      <c r="N65" s="115"/>
      <c r="O65" s="68"/>
    </row>
    <row r="66" spans="1:15" x14ac:dyDescent="0.25">
      <c r="A66" s="108" t="s">
        <v>469</v>
      </c>
      <c r="B66" s="135"/>
      <c r="C66" s="138"/>
      <c r="D66" s="139"/>
      <c r="E66" s="112"/>
      <c r="F66" s="112"/>
      <c r="G66" s="112"/>
      <c r="H66" s="112"/>
      <c r="I66" s="112"/>
      <c r="J66" s="112"/>
      <c r="K66" s="112"/>
      <c r="L66" s="112"/>
      <c r="M66" s="112"/>
      <c r="N66" s="113"/>
      <c r="O66" s="68"/>
    </row>
    <row r="67" spans="1:15" x14ac:dyDescent="0.25">
      <c r="A67" s="105" t="s">
        <v>279</v>
      </c>
      <c r="B67" s="140"/>
      <c r="C67" s="106">
        <v>2018</v>
      </c>
      <c r="D67" s="107">
        <v>7</v>
      </c>
      <c r="E67" s="116"/>
      <c r="F67" s="116"/>
      <c r="G67" s="116"/>
      <c r="H67" s="116"/>
      <c r="I67" s="116"/>
      <c r="J67" s="116"/>
      <c r="K67" s="116"/>
      <c r="L67" s="116">
        <v>7</v>
      </c>
      <c r="M67" s="116"/>
      <c r="N67" s="117"/>
      <c r="O67" s="68"/>
    </row>
    <row r="68" spans="1:15" x14ac:dyDescent="0.25">
      <c r="A68" s="105" t="s">
        <v>470</v>
      </c>
      <c r="B68" s="140"/>
      <c r="C68" s="106">
        <v>2024</v>
      </c>
      <c r="D68" s="116">
        <f>'UH-plan detaljerad'!E147/1000</f>
        <v>109.5</v>
      </c>
      <c r="F68" s="116"/>
      <c r="G68" s="116"/>
      <c r="H68" s="116"/>
      <c r="I68" s="116"/>
      <c r="J68" s="116"/>
      <c r="K68" s="116"/>
      <c r="L68" s="116"/>
      <c r="M68" s="116"/>
      <c r="N68" s="117"/>
      <c r="O68" s="68"/>
    </row>
    <row r="69" spans="1:15" x14ac:dyDescent="0.25">
      <c r="A69" s="105" t="s">
        <v>280</v>
      </c>
      <c r="B69" s="141">
        <v>10</v>
      </c>
      <c r="C69" s="142">
        <v>2020</v>
      </c>
      <c r="D69" s="143">
        <f>'UH-plan detaljerad'!E152/1000</f>
        <v>9.1999999999999993</v>
      </c>
      <c r="E69" s="144"/>
      <c r="F69" s="144"/>
      <c r="G69" s="144"/>
      <c r="H69" s="144"/>
      <c r="I69" s="144"/>
      <c r="J69" s="144">
        <f>'UH-plan detaljerad'!J152/1000</f>
        <v>11.2</v>
      </c>
      <c r="K69" s="144">
        <f>'UH-plan detaljerad'!L152/1000</f>
        <v>13.6</v>
      </c>
      <c r="L69" s="144">
        <f>'UH-plan detaljerad'!L152/1000</f>
        <v>13.6</v>
      </c>
      <c r="M69" s="144"/>
      <c r="N69" s="145"/>
      <c r="O69" s="68"/>
    </row>
    <row r="70" spans="1:15" x14ac:dyDescent="0.25">
      <c r="A70" s="146" t="s">
        <v>281</v>
      </c>
      <c r="B70" s="147"/>
      <c r="C70" s="147"/>
      <c r="D70" s="147"/>
      <c r="E70" s="148">
        <f t="shared" ref="E70:M70" si="0">SUM(E5:E69)</f>
        <v>158.2885</v>
      </c>
      <c r="F70" s="148">
        <f t="shared" si="0"/>
        <v>78.356925000000004</v>
      </c>
      <c r="G70" s="149">
        <f t="shared" si="0"/>
        <v>88.12705274999999</v>
      </c>
      <c r="H70" s="150">
        <f t="shared" si="0"/>
        <v>132.2757843325</v>
      </c>
      <c r="I70" s="150">
        <f t="shared" si="0"/>
        <v>180.11032493237502</v>
      </c>
      <c r="J70" s="150">
        <f t="shared" si="0"/>
        <v>1043.8211068124813</v>
      </c>
      <c r="K70" s="150">
        <f t="shared" si="0"/>
        <v>2354.6731670273557</v>
      </c>
      <c r="L70" s="150">
        <f t="shared" si="0"/>
        <v>6540.2756275770662</v>
      </c>
      <c r="M70" s="150">
        <f t="shared" si="0"/>
        <v>8004</v>
      </c>
      <c r="N70" s="151">
        <f>SUM(N4:N69)</f>
        <v>300</v>
      </c>
      <c r="O70" s="68"/>
    </row>
    <row r="71" spans="1:15" x14ac:dyDescent="0.25">
      <c r="A71" s="152" t="s">
        <v>282</v>
      </c>
      <c r="B71" s="63"/>
      <c r="C71" s="63"/>
      <c r="D71" s="153"/>
      <c r="E71" s="154">
        <f>SUM((E70+F70+G70+H70+I70)/5)</f>
        <v>127.43171740297501</v>
      </c>
      <c r="F71" s="62"/>
      <c r="G71" s="62"/>
      <c r="H71" s="62"/>
      <c r="I71" s="48" t="s">
        <v>219</v>
      </c>
      <c r="L71" s="2"/>
      <c r="M71" s="52">
        <v>442</v>
      </c>
      <c r="N71" s="53" t="s">
        <v>283</v>
      </c>
      <c r="O71" s="68"/>
    </row>
    <row r="72" spans="1:15" x14ac:dyDescent="0.25">
      <c r="A72" s="155" t="s">
        <v>284</v>
      </c>
      <c r="B72" s="63"/>
      <c r="C72" s="63"/>
      <c r="D72" s="63"/>
      <c r="E72" s="156">
        <f>SUM(J70/5)</f>
        <v>208.76422136249624</v>
      </c>
      <c r="F72" s="62"/>
      <c r="G72" s="62"/>
      <c r="H72" s="62"/>
      <c r="I72" s="48" t="s">
        <v>223</v>
      </c>
      <c r="L72" s="2"/>
      <c r="M72" s="52">
        <v>50</v>
      </c>
      <c r="N72" s="48" t="s">
        <v>224</v>
      </c>
    </row>
    <row r="73" spans="1:15" x14ac:dyDescent="0.25">
      <c r="A73" s="155" t="s">
        <v>285</v>
      </c>
      <c r="B73" s="157"/>
      <c r="C73" s="157"/>
      <c r="D73" s="157"/>
      <c r="E73" s="156">
        <f>SUM(K70/5)</f>
        <v>470.93463340547112</v>
      </c>
      <c r="H73" s="62"/>
      <c r="I73" s="48" t="s">
        <v>225</v>
      </c>
      <c r="L73" s="2"/>
      <c r="M73" s="52">
        <f>M71/M72</f>
        <v>8.84</v>
      </c>
      <c r="N73" s="48" t="s">
        <v>283</v>
      </c>
    </row>
    <row r="74" spans="1:15" x14ac:dyDescent="0.25">
      <c r="A74" s="62" t="s">
        <v>286</v>
      </c>
      <c r="B74" s="158"/>
      <c r="C74" s="158"/>
      <c r="D74" s="158"/>
      <c r="E74" s="62"/>
      <c r="F74" s="62"/>
      <c r="G74" s="62"/>
      <c r="H74" s="159"/>
      <c r="I74" s="48" t="s">
        <v>226</v>
      </c>
      <c r="L74" s="2"/>
      <c r="M74" s="52">
        <v>2435</v>
      </c>
      <c r="N74" s="48" t="s">
        <v>227</v>
      </c>
    </row>
    <row r="75" spans="1:15" x14ac:dyDescent="0.25">
      <c r="A75" s="62" t="s">
        <v>287</v>
      </c>
      <c r="B75" s="158"/>
      <c r="C75" s="160" t="s">
        <v>288</v>
      </c>
      <c r="D75" s="160"/>
      <c r="E75" s="9"/>
      <c r="F75" s="161"/>
      <c r="G75" s="161"/>
      <c r="H75" s="62"/>
      <c r="I75" s="48" t="s">
        <v>228</v>
      </c>
      <c r="L75" s="2"/>
      <c r="M75" s="52">
        <f>M71*1000/M74</f>
        <v>181.51950718685831</v>
      </c>
      <c r="N75" s="48" t="s">
        <v>283</v>
      </c>
    </row>
    <row r="76" spans="1:15" x14ac:dyDescent="0.25">
      <c r="A76" s="62" t="s">
        <v>289</v>
      </c>
      <c r="B76" s="158"/>
      <c r="C76" s="158"/>
      <c r="D76" s="158"/>
      <c r="E76" s="62"/>
      <c r="F76" s="62"/>
      <c r="G76" s="62"/>
    </row>
  </sheetData>
  <pageMargins left="0.7" right="0.7" top="0.75" bottom="0.75" header="0.511811023622047" footer="0.511811023622047"/>
  <pageSetup paperSize="9" scale="65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40"/>
  <sheetViews>
    <sheetView zoomScaleNormal="100" workbookViewId="0">
      <selection activeCell="A37" sqref="A37"/>
    </sheetView>
  </sheetViews>
  <sheetFormatPr defaultColWidth="8.7109375" defaultRowHeight="15" x14ac:dyDescent="0.25"/>
  <cols>
    <col min="1" max="1" width="255.7109375" customWidth="1"/>
  </cols>
  <sheetData>
    <row r="1" spans="1:1" ht="15.75" x14ac:dyDescent="0.25">
      <c r="A1" s="162" t="s">
        <v>290</v>
      </c>
    </row>
    <row r="2" spans="1:1" ht="15.75" x14ac:dyDescent="0.25">
      <c r="A2" s="163"/>
    </row>
    <row r="3" spans="1:1" ht="15.75" x14ac:dyDescent="0.25">
      <c r="A3" s="163" t="s">
        <v>291</v>
      </c>
    </row>
    <row r="4" spans="1:1" ht="15.75" x14ac:dyDescent="0.25">
      <c r="A4" s="163"/>
    </row>
    <row r="5" spans="1:1" ht="15.75" x14ac:dyDescent="0.25">
      <c r="A5" s="163" t="s">
        <v>292</v>
      </c>
    </row>
    <row r="6" spans="1:1" ht="15.75" x14ac:dyDescent="0.25">
      <c r="A6" s="163" t="s">
        <v>293</v>
      </c>
    </row>
    <row r="7" spans="1:1" ht="15.75" x14ac:dyDescent="0.25">
      <c r="A7" s="163" t="s">
        <v>294</v>
      </c>
    </row>
    <row r="8" spans="1:1" ht="15.75" x14ac:dyDescent="0.25">
      <c r="A8" s="163"/>
    </row>
    <row r="9" spans="1:1" ht="15.75" x14ac:dyDescent="0.25">
      <c r="A9" s="163" t="s">
        <v>295</v>
      </c>
    </row>
    <row r="10" spans="1:1" ht="15.75" x14ac:dyDescent="0.25">
      <c r="A10" s="163"/>
    </row>
    <row r="11" spans="1:1" ht="15.75" x14ac:dyDescent="0.25">
      <c r="A11" s="162" t="s">
        <v>296</v>
      </c>
    </row>
    <row r="12" spans="1:1" ht="15.75" x14ac:dyDescent="0.25">
      <c r="A12" s="163" t="s">
        <v>297</v>
      </c>
    </row>
    <row r="13" spans="1:1" ht="15.75" x14ac:dyDescent="0.25">
      <c r="A13" s="163"/>
    </row>
    <row r="14" spans="1:1" ht="15.75" x14ac:dyDescent="0.25">
      <c r="A14" s="163" t="s">
        <v>298</v>
      </c>
    </row>
    <row r="15" spans="1:1" ht="15.75" x14ac:dyDescent="0.25">
      <c r="A15" s="163"/>
    </row>
    <row r="16" spans="1:1" ht="15.75" x14ac:dyDescent="0.25">
      <c r="A16" s="163" t="s">
        <v>299</v>
      </c>
    </row>
    <row r="17" spans="1:1" ht="15.75" x14ac:dyDescent="0.25">
      <c r="A17" s="163" t="s">
        <v>300</v>
      </c>
    </row>
    <row r="18" spans="1:1" ht="15.75" x14ac:dyDescent="0.25">
      <c r="A18" s="163"/>
    </row>
    <row r="19" spans="1:1" ht="15.75" x14ac:dyDescent="0.25">
      <c r="A19" s="163" t="s">
        <v>301</v>
      </c>
    </row>
    <row r="20" spans="1:1" ht="15.75" x14ac:dyDescent="0.25">
      <c r="A20" s="163"/>
    </row>
    <row r="21" spans="1:1" ht="15.75" x14ac:dyDescent="0.25">
      <c r="A21" s="163" t="s">
        <v>302</v>
      </c>
    </row>
    <row r="22" spans="1:1" ht="15.75" x14ac:dyDescent="0.25">
      <c r="A22" s="163" t="s">
        <v>303</v>
      </c>
    </row>
    <row r="23" spans="1:1" ht="15.75" x14ac:dyDescent="0.25">
      <c r="A23" s="163"/>
    </row>
    <row r="24" spans="1:1" ht="15.75" x14ac:dyDescent="0.25">
      <c r="A24" s="163" t="s">
        <v>304</v>
      </c>
    </row>
    <row r="25" spans="1:1" ht="15.75" x14ac:dyDescent="0.25">
      <c r="A25" s="163"/>
    </row>
    <row r="26" spans="1:1" ht="15.75" x14ac:dyDescent="0.25">
      <c r="A26" s="163" t="s">
        <v>305</v>
      </c>
    </row>
    <row r="27" spans="1:1" ht="15.75" x14ac:dyDescent="0.25">
      <c r="A27" s="163" t="s">
        <v>306</v>
      </c>
    </row>
    <row r="28" spans="1:1" ht="15.75" x14ac:dyDescent="0.25">
      <c r="A28" s="163"/>
    </row>
    <row r="29" spans="1:1" ht="15.75" x14ac:dyDescent="0.25">
      <c r="A29" s="163" t="s">
        <v>307</v>
      </c>
    </row>
    <row r="30" spans="1:1" ht="15.75" x14ac:dyDescent="0.25">
      <c r="A30" s="163"/>
    </row>
    <row r="31" spans="1:1" ht="15.75" x14ac:dyDescent="0.25">
      <c r="A31" s="163" t="s">
        <v>308</v>
      </c>
    </row>
    <row r="32" spans="1:1" ht="15.75" x14ac:dyDescent="0.25">
      <c r="A32" s="163"/>
    </row>
    <row r="33" spans="1:1" ht="15.75" x14ac:dyDescent="0.25">
      <c r="A33" s="163" t="s">
        <v>309</v>
      </c>
    </row>
    <row r="34" spans="1:1" ht="15.75" x14ac:dyDescent="0.25">
      <c r="A34" s="163" t="s">
        <v>310</v>
      </c>
    </row>
    <row r="35" spans="1:1" ht="15.75" x14ac:dyDescent="0.25">
      <c r="A35" s="163" t="s">
        <v>311</v>
      </c>
    </row>
    <row r="36" spans="1:1" ht="15.75" x14ac:dyDescent="0.25">
      <c r="A36" s="163"/>
    </row>
    <row r="37" spans="1:1" ht="15.75" x14ac:dyDescent="0.25">
      <c r="A37" s="163" t="s">
        <v>312</v>
      </c>
    </row>
    <row r="40" spans="1:1" x14ac:dyDescent="0.25">
      <c r="A40" s="1" t="s">
        <v>313</v>
      </c>
    </row>
  </sheetData>
  <pageMargins left="0.7" right="0.7" top="0.75" bottom="0.75" header="0.511811023622047" footer="0.511811023622047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59"/>
  <sheetViews>
    <sheetView topLeftCell="A28" zoomScaleNormal="100" workbookViewId="0">
      <selection activeCell="A7" sqref="A7"/>
    </sheetView>
  </sheetViews>
  <sheetFormatPr defaultColWidth="8.7109375" defaultRowHeight="15" x14ac:dyDescent="0.25"/>
  <cols>
    <col min="1" max="1" width="74.5703125" customWidth="1"/>
  </cols>
  <sheetData>
    <row r="1" spans="1:1" x14ac:dyDescent="0.25">
      <c r="A1" s="1" t="s">
        <v>314</v>
      </c>
    </row>
    <row r="3" spans="1:1" x14ac:dyDescent="0.25">
      <c r="A3" t="s">
        <v>315</v>
      </c>
    </row>
    <row r="4" spans="1:1" x14ac:dyDescent="0.25">
      <c r="A4" t="s">
        <v>316</v>
      </c>
    </row>
    <row r="5" spans="1:1" x14ac:dyDescent="0.25">
      <c r="A5" t="s">
        <v>317</v>
      </c>
    </row>
    <row r="6" spans="1:1" x14ac:dyDescent="0.25">
      <c r="A6" t="s">
        <v>318</v>
      </c>
    </row>
    <row r="9" spans="1:1" x14ac:dyDescent="0.25">
      <c r="A9" s="1" t="s">
        <v>319</v>
      </c>
    </row>
    <row r="10" spans="1:1" x14ac:dyDescent="0.25">
      <c r="A10" t="s">
        <v>320</v>
      </c>
    </row>
    <row r="12" spans="1:1" x14ac:dyDescent="0.25">
      <c r="A12" s="1" t="s">
        <v>321</v>
      </c>
    </row>
    <row r="13" spans="1:1" x14ac:dyDescent="0.25">
      <c r="A13" t="s">
        <v>322</v>
      </c>
    </row>
    <row r="15" spans="1:1" x14ac:dyDescent="0.25">
      <c r="A15" s="1" t="s">
        <v>323</v>
      </c>
    </row>
    <row r="16" spans="1:1" x14ac:dyDescent="0.25">
      <c r="A16" t="s">
        <v>324</v>
      </c>
    </row>
    <row r="18" spans="1:1" x14ac:dyDescent="0.25">
      <c r="A18" s="1" t="s">
        <v>325</v>
      </c>
    </row>
    <row r="19" spans="1:1" x14ac:dyDescent="0.25">
      <c r="A19" t="s">
        <v>326</v>
      </c>
    </row>
    <row r="21" spans="1:1" x14ac:dyDescent="0.25">
      <c r="A21" s="1" t="s">
        <v>327</v>
      </c>
    </row>
    <row r="22" spans="1:1" x14ac:dyDescent="0.25">
      <c r="A22" t="s">
        <v>328</v>
      </c>
    </row>
    <row r="24" spans="1:1" x14ac:dyDescent="0.25">
      <c r="A24" s="1" t="s">
        <v>329</v>
      </c>
    </row>
    <row r="25" spans="1:1" x14ac:dyDescent="0.25">
      <c r="A25" t="s">
        <v>330</v>
      </c>
    </row>
    <row r="26" spans="1:1" x14ac:dyDescent="0.25">
      <c r="A26" t="s">
        <v>331</v>
      </c>
    </row>
    <row r="28" spans="1:1" x14ac:dyDescent="0.25">
      <c r="A28" s="1" t="s">
        <v>332</v>
      </c>
    </row>
    <row r="29" spans="1:1" x14ac:dyDescent="0.25">
      <c r="A29" t="s">
        <v>333</v>
      </c>
    </row>
    <row r="31" spans="1:1" x14ac:dyDescent="0.25">
      <c r="A31" s="1" t="s">
        <v>334</v>
      </c>
    </row>
    <row r="32" spans="1:1" x14ac:dyDescent="0.25">
      <c r="A32" t="s">
        <v>335</v>
      </c>
    </row>
    <row r="33" spans="1:1" x14ac:dyDescent="0.25">
      <c r="A33" t="s">
        <v>336</v>
      </c>
    </row>
    <row r="34" spans="1:1" x14ac:dyDescent="0.25">
      <c r="A34" t="s">
        <v>337</v>
      </c>
    </row>
    <row r="35" spans="1:1" x14ac:dyDescent="0.25">
      <c r="A35" t="s">
        <v>338</v>
      </c>
    </row>
    <row r="37" spans="1:1" x14ac:dyDescent="0.25">
      <c r="A37" s="1" t="s">
        <v>339</v>
      </c>
    </row>
    <row r="38" spans="1:1" x14ac:dyDescent="0.25">
      <c r="A38" t="s">
        <v>340</v>
      </c>
    </row>
    <row r="40" spans="1:1" x14ac:dyDescent="0.25">
      <c r="A40" s="1" t="s">
        <v>341</v>
      </c>
    </row>
    <row r="41" spans="1:1" x14ac:dyDescent="0.25">
      <c r="A41" t="s">
        <v>342</v>
      </c>
    </row>
    <row r="43" spans="1:1" x14ac:dyDescent="0.25">
      <c r="A43" s="1" t="s">
        <v>343</v>
      </c>
    </row>
    <row r="44" spans="1:1" x14ac:dyDescent="0.25">
      <c r="A44" t="s">
        <v>344</v>
      </c>
    </row>
    <row r="45" spans="1:1" x14ac:dyDescent="0.25">
      <c r="A45" t="s">
        <v>345</v>
      </c>
    </row>
    <row r="47" spans="1:1" x14ac:dyDescent="0.25">
      <c r="A47" s="1" t="s">
        <v>346</v>
      </c>
    </row>
    <row r="48" spans="1:1" x14ac:dyDescent="0.25">
      <c r="A48" t="s">
        <v>347</v>
      </c>
    </row>
    <row r="49" spans="1:1" x14ac:dyDescent="0.25">
      <c r="A49" t="s">
        <v>348</v>
      </c>
    </row>
    <row r="51" spans="1:1" x14ac:dyDescent="0.25">
      <c r="A51" s="1" t="s">
        <v>349</v>
      </c>
    </row>
    <row r="52" spans="1:1" x14ac:dyDescent="0.25">
      <c r="A52" t="s">
        <v>350</v>
      </c>
    </row>
    <row r="54" spans="1:1" x14ac:dyDescent="0.25">
      <c r="A54" s="1" t="s">
        <v>351</v>
      </c>
    </row>
    <row r="55" spans="1:1" x14ac:dyDescent="0.25">
      <c r="A55" t="s">
        <v>352</v>
      </c>
    </row>
    <row r="57" spans="1:1" x14ac:dyDescent="0.25">
      <c r="A57" s="1" t="s">
        <v>353</v>
      </c>
    </row>
    <row r="58" spans="1:1" x14ac:dyDescent="0.25">
      <c r="A58" t="s">
        <v>354</v>
      </c>
    </row>
    <row r="59" spans="1:1" x14ac:dyDescent="0.25">
      <c r="A59" t="s">
        <v>355</v>
      </c>
    </row>
  </sheetData>
  <pageMargins left="0.7" right="0.7" top="0.75" bottom="0.75" header="0.511811023622047" footer="0.511811023622047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38"/>
  <sheetViews>
    <sheetView topLeftCell="A22" zoomScaleNormal="100" workbookViewId="0">
      <selection activeCell="A38" sqref="A38"/>
    </sheetView>
  </sheetViews>
  <sheetFormatPr defaultColWidth="8.7109375" defaultRowHeight="15" x14ac:dyDescent="0.25"/>
  <cols>
    <col min="1" max="1" width="88.42578125" customWidth="1"/>
  </cols>
  <sheetData>
    <row r="1" spans="1:1" ht="21" x14ac:dyDescent="0.35">
      <c r="A1" s="164" t="s">
        <v>356</v>
      </c>
    </row>
    <row r="3" spans="1:1" ht="21" x14ac:dyDescent="0.35">
      <c r="A3" s="165" t="s">
        <v>357</v>
      </c>
    </row>
    <row r="4" spans="1:1" ht="21" x14ac:dyDescent="0.35">
      <c r="A4" s="165" t="s">
        <v>358</v>
      </c>
    </row>
    <row r="5" spans="1:1" ht="21" x14ac:dyDescent="0.35">
      <c r="A5" s="165" t="s">
        <v>359</v>
      </c>
    </row>
    <row r="6" spans="1:1" ht="21" x14ac:dyDescent="0.35">
      <c r="A6" s="165" t="s">
        <v>360</v>
      </c>
    </row>
    <row r="7" spans="1:1" ht="21" x14ac:dyDescent="0.35">
      <c r="A7" s="165" t="s">
        <v>361</v>
      </c>
    </row>
    <row r="8" spans="1:1" ht="21" x14ac:dyDescent="0.35">
      <c r="A8" s="165" t="s">
        <v>362</v>
      </c>
    </row>
    <row r="9" spans="1:1" ht="21" x14ac:dyDescent="0.35">
      <c r="A9" s="165" t="s">
        <v>363</v>
      </c>
    </row>
    <row r="38" spans="1:1" ht="18.75" x14ac:dyDescent="0.3">
      <c r="A38" s="166" t="s">
        <v>364</v>
      </c>
    </row>
  </sheetData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A51"/>
  <sheetViews>
    <sheetView zoomScale="202" zoomScaleNormal="202" workbookViewId="0">
      <selection activeCell="A8" sqref="A8"/>
    </sheetView>
  </sheetViews>
  <sheetFormatPr defaultColWidth="8.7109375" defaultRowHeight="15" x14ac:dyDescent="0.25"/>
  <cols>
    <col min="1" max="1" width="128.42578125" customWidth="1"/>
    <col min="2" max="2" width="23.85546875" customWidth="1"/>
  </cols>
  <sheetData>
    <row r="2" spans="1:1" x14ac:dyDescent="0.25">
      <c r="A2" s="1" t="s">
        <v>365</v>
      </c>
    </row>
    <row r="3" spans="1:1" x14ac:dyDescent="0.25">
      <c r="A3" t="s">
        <v>366</v>
      </c>
    </row>
    <row r="4" spans="1:1" x14ac:dyDescent="0.25">
      <c r="A4" t="s">
        <v>367</v>
      </c>
    </row>
    <row r="5" spans="1:1" x14ac:dyDescent="0.25">
      <c r="A5" t="s">
        <v>368</v>
      </c>
    </row>
    <row r="7" spans="1:1" ht="15.75" x14ac:dyDescent="0.25">
      <c r="A7" s="167"/>
    </row>
    <row r="8" spans="1:1" ht="15.75" x14ac:dyDescent="0.25">
      <c r="A8" s="168">
        <v>44179</v>
      </c>
    </row>
    <row r="9" spans="1:1" ht="15.75" x14ac:dyDescent="0.25">
      <c r="A9" s="169" t="s">
        <v>369</v>
      </c>
    </row>
    <row r="10" spans="1:1" ht="15.75" x14ac:dyDescent="0.25">
      <c r="A10" s="169"/>
    </row>
    <row r="11" spans="1:1" ht="15.75" x14ac:dyDescent="0.25">
      <c r="A11" s="169" t="s">
        <v>370</v>
      </c>
    </row>
    <row r="12" spans="1:1" ht="15.75" x14ac:dyDescent="0.25">
      <c r="A12" s="167"/>
    </row>
    <row r="13" spans="1:1" ht="15.75" x14ac:dyDescent="0.25">
      <c r="A13" s="170" t="s">
        <v>371</v>
      </c>
    </row>
    <row r="14" spans="1:1" ht="15.75" x14ac:dyDescent="0.25">
      <c r="A14" s="170" t="s">
        <v>372</v>
      </c>
    </row>
    <row r="15" spans="1:1" ht="15.75" x14ac:dyDescent="0.25">
      <c r="A15" s="167"/>
    </row>
    <row r="16" spans="1:1" ht="15.75" x14ac:dyDescent="0.25">
      <c r="A16" s="167" t="s">
        <v>373</v>
      </c>
    </row>
    <row r="17" spans="1:1" ht="15.75" x14ac:dyDescent="0.25">
      <c r="A17" s="169" t="s">
        <v>374</v>
      </c>
    </row>
    <row r="18" spans="1:1" ht="15.75" x14ac:dyDescent="0.25">
      <c r="A18" s="169" t="s">
        <v>375</v>
      </c>
    </row>
    <row r="19" spans="1:1" ht="15.75" x14ac:dyDescent="0.25">
      <c r="A19" s="169"/>
    </row>
    <row r="20" spans="1:1" ht="15.75" x14ac:dyDescent="0.25">
      <c r="A20" s="170"/>
    </row>
    <row r="21" spans="1:1" ht="15.75" x14ac:dyDescent="0.25">
      <c r="A21" s="171" t="s">
        <v>376</v>
      </c>
    </row>
    <row r="22" spans="1:1" ht="15.75" x14ac:dyDescent="0.25">
      <c r="A22" s="170"/>
    </row>
    <row r="23" spans="1:1" ht="15.75" x14ac:dyDescent="0.25">
      <c r="A23" s="170" t="s">
        <v>377</v>
      </c>
    </row>
    <row r="24" spans="1:1" ht="15.75" x14ac:dyDescent="0.25">
      <c r="A24" s="167" t="s">
        <v>378</v>
      </c>
    </row>
    <row r="25" spans="1:1" ht="15.75" x14ac:dyDescent="0.25">
      <c r="A25" s="170" t="s">
        <v>379</v>
      </c>
    </row>
    <row r="26" spans="1:1" ht="15.75" x14ac:dyDescent="0.25">
      <c r="A26" s="167"/>
    </row>
    <row r="27" spans="1:1" ht="15.75" x14ac:dyDescent="0.25">
      <c r="A27" s="167" t="s">
        <v>380</v>
      </c>
    </row>
    <row r="28" spans="1:1" ht="15.75" x14ac:dyDescent="0.25">
      <c r="A28" s="172" t="s">
        <v>381</v>
      </c>
    </row>
    <row r="29" spans="1:1" ht="15.75" x14ac:dyDescent="0.25">
      <c r="A29" s="167" t="s">
        <v>382</v>
      </c>
    </row>
    <row r="30" spans="1:1" ht="15.75" x14ac:dyDescent="0.25">
      <c r="A30" s="172" t="s">
        <v>383</v>
      </c>
    </row>
    <row r="31" spans="1:1" ht="15.75" x14ac:dyDescent="0.25">
      <c r="A31" s="169"/>
    </row>
    <row r="32" spans="1:1" ht="15.75" x14ac:dyDescent="0.25">
      <c r="A32" s="169" t="s">
        <v>384</v>
      </c>
    </row>
    <row r="33" spans="1:1" ht="15.75" x14ac:dyDescent="0.25">
      <c r="A33" s="169"/>
    </row>
    <row r="34" spans="1:1" ht="15.75" x14ac:dyDescent="0.25">
      <c r="A34" s="169" t="s">
        <v>385</v>
      </c>
    </row>
    <row r="35" spans="1:1" ht="15.75" x14ac:dyDescent="0.25">
      <c r="A35" s="169" t="s">
        <v>386</v>
      </c>
    </row>
    <row r="36" spans="1:1" ht="15.75" x14ac:dyDescent="0.25">
      <c r="A36" s="169"/>
    </row>
    <row r="37" spans="1:1" ht="18.75" customHeight="1" x14ac:dyDescent="0.25">
      <c r="A37" s="169" t="s">
        <v>387</v>
      </c>
    </row>
    <row r="38" spans="1:1" ht="15.75" x14ac:dyDescent="0.25">
      <c r="A38" s="169" t="s">
        <v>388</v>
      </c>
    </row>
    <row r="39" spans="1:1" ht="15.75" x14ac:dyDescent="0.25">
      <c r="A39" s="169"/>
    </row>
    <row r="40" spans="1:1" ht="15.75" x14ac:dyDescent="0.25">
      <c r="A40" s="169" t="s">
        <v>389</v>
      </c>
    </row>
    <row r="41" spans="1:1" ht="15.75" x14ac:dyDescent="0.25">
      <c r="A41" s="169" t="s">
        <v>390</v>
      </c>
    </row>
    <row r="42" spans="1:1" ht="15.75" x14ac:dyDescent="0.25">
      <c r="A42" s="169" t="s">
        <v>391</v>
      </c>
    </row>
    <row r="43" spans="1:1" ht="15.75" x14ac:dyDescent="0.25">
      <c r="A43" s="169"/>
    </row>
    <row r="44" spans="1:1" ht="15.75" x14ac:dyDescent="0.25">
      <c r="A44" s="169" t="s">
        <v>392</v>
      </c>
    </row>
    <row r="45" spans="1:1" ht="15.75" x14ac:dyDescent="0.25">
      <c r="A45" s="169" t="s">
        <v>393</v>
      </c>
    </row>
    <row r="46" spans="1:1" ht="15.75" x14ac:dyDescent="0.25">
      <c r="A46" s="169"/>
    </row>
    <row r="47" spans="1:1" ht="15.75" x14ac:dyDescent="0.25">
      <c r="A47" s="169" t="s">
        <v>394</v>
      </c>
    </row>
    <row r="48" spans="1:1" ht="15.75" x14ac:dyDescent="0.25">
      <c r="A48" s="169" t="s">
        <v>395</v>
      </c>
    </row>
    <row r="49" spans="1:1" ht="15.75" x14ac:dyDescent="0.25">
      <c r="A49" s="169"/>
    </row>
    <row r="50" spans="1:1" ht="15.75" x14ac:dyDescent="0.25">
      <c r="A50" s="169"/>
    </row>
    <row r="51" spans="1:1" ht="15.75" x14ac:dyDescent="0.25">
      <c r="A51" s="169" t="s">
        <v>396</v>
      </c>
    </row>
  </sheetData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"/>
  <sheetViews>
    <sheetView zoomScaleNormal="100" workbookViewId="0">
      <selection activeCell="A2" sqref="A2"/>
    </sheetView>
  </sheetViews>
  <sheetFormatPr defaultColWidth="8.7109375" defaultRowHeight="15" x14ac:dyDescent="0.25"/>
  <sheetData>
    <row r="2" spans="1:1" ht="23.25" x14ac:dyDescent="0.35">
      <c r="A2" s="173" t="s">
        <v>397</v>
      </c>
    </row>
  </sheetData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3:A18"/>
  <sheetViews>
    <sheetView zoomScaleNormal="100" workbookViewId="0">
      <selection activeCell="A17" sqref="A17"/>
    </sheetView>
  </sheetViews>
  <sheetFormatPr defaultColWidth="8.7109375" defaultRowHeight="15" x14ac:dyDescent="0.25"/>
  <cols>
    <col min="1" max="1" width="129.42578125" customWidth="1"/>
  </cols>
  <sheetData>
    <row r="3" spans="1:1" x14ac:dyDescent="0.25">
      <c r="A3" s="1" t="s">
        <v>398</v>
      </c>
    </row>
    <row r="4" spans="1:1" x14ac:dyDescent="0.25">
      <c r="A4" t="s">
        <v>399</v>
      </c>
    </row>
    <row r="5" spans="1:1" x14ac:dyDescent="0.25">
      <c r="A5" t="s">
        <v>400</v>
      </c>
    </row>
    <row r="7" spans="1:1" x14ac:dyDescent="0.25">
      <c r="A7" t="s">
        <v>401</v>
      </c>
    </row>
    <row r="8" spans="1:1" x14ac:dyDescent="0.25">
      <c r="A8" t="s">
        <v>402</v>
      </c>
    </row>
    <row r="10" spans="1:1" x14ac:dyDescent="0.25">
      <c r="A10" t="s">
        <v>403</v>
      </c>
    </row>
    <row r="13" spans="1:1" x14ac:dyDescent="0.25">
      <c r="A13" t="s">
        <v>404</v>
      </c>
    </row>
    <row r="17" spans="1:1" x14ac:dyDescent="0.25">
      <c r="A17" t="s">
        <v>405</v>
      </c>
    </row>
    <row r="18" spans="1:1" x14ac:dyDescent="0.25">
      <c r="A18" t="s">
        <v>406</v>
      </c>
    </row>
  </sheetData>
  <pageMargins left="0.7" right="0.7" top="0.75" bottom="0.75" header="0.511811023622047" footer="0.511811023622047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8</vt:i4>
      </vt:variant>
      <vt:variant>
        <vt:lpstr>Namngivna områden</vt:lpstr>
      </vt:variant>
      <vt:variant>
        <vt:i4>1</vt:i4>
      </vt:variant>
    </vt:vector>
  </HeadingPairs>
  <TitlesOfParts>
    <vt:vector size="9" baseType="lpstr">
      <vt:lpstr>UH-plan detaljerad</vt:lpstr>
      <vt:lpstr>UH-Plan enkel</vt:lpstr>
      <vt:lpstr>Kommentarer</vt:lpstr>
      <vt:lpstr>Fastighetens konstruktion mm</vt:lpstr>
      <vt:lpstr>Balkonger</vt:lpstr>
      <vt:lpstr>Bergvärme</vt:lpstr>
      <vt:lpstr>Hiss</vt:lpstr>
      <vt:lpstr>Länkar offerter</vt:lpstr>
      <vt:lpstr>'UH-Plan enkel'!Utskriftsområde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Jan-Peter Estradas</dc:creator>
  <cp:keywords/>
  <dc:description/>
  <cp:lastModifiedBy>Jan-Peter Estradas</cp:lastModifiedBy>
  <cp:revision>2</cp:revision>
  <cp:lastPrinted>2024-12-18T11:06:15Z</cp:lastPrinted>
  <dcterms:created xsi:type="dcterms:W3CDTF">2021-01-06T12:03:18Z</dcterms:created>
  <dcterms:modified xsi:type="dcterms:W3CDTF">2025-01-17T13:23:37Z</dcterms:modified>
  <cp:category/>
  <cp:contentStatus/>
</cp:coreProperties>
</file>